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lkin Cataño\Desktop\Nuevo PRAMING\3. Cocorna_III\Requerimientos\Asesores\Req. 5.3.4\"/>
    </mc:Choice>
  </mc:AlternateContent>
  <bookViews>
    <workbookView xWindow="0" yWindow="0" windowWidth="7476" windowHeight="6072"/>
  </bookViews>
  <sheets>
    <sheet name="Desareandor" sheetId="3" r:id="rId1"/>
    <sheet name="Trampa de grasas" sheetId="4" r:id="rId2"/>
    <sheet name="Filtro arena_carbon" sheetId="5" r:id="rId3"/>
    <sheet name="desinfección" sheetId="6" r:id="rId4"/>
    <sheet name="tanque de desinfección" sheetId="2" r:id="rId5"/>
    <sheet name="lecho de secado" sheetId="1" r:id="rId6"/>
  </sheets>
  <calcPr calcId="152511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7" i="6" l="1"/>
  <c r="D16" i="6"/>
  <c r="D12" i="6"/>
  <c r="D5" i="6"/>
  <c r="D6" i="6" s="1"/>
  <c r="F49" i="5"/>
  <c r="E49" i="5"/>
  <c r="D49" i="5"/>
  <c r="D50" i="5" s="1"/>
  <c r="D17" i="5"/>
  <c r="D15" i="5"/>
  <c r="D18" i="5" s="1"/>
  <c r="D20" i="5" s="1"/>
  <c r="D4" i="5"/>
  <c r="E31" i="5" l="1"/>
  <c r="E32" i="5" s="1"/>
  <c r="D6" i="5"/>
  <c r="F31" i="5" s="1"/>
  <c r="F32" i="5" s="1"/>
  <c r="D10" i="5" l="1"/>
  <c r="D31" i="5"/>
  <c r="D32" i="5" s="1"/>
  <c r="D33" i="5" s="1"/>
  <c r="G5" i="4" l="1"/>
  <c r="G7" i="4" s="1"/>
  <c r="G6" i="4" s="1"/>
  <c r="G9" i="4" s="1"/>
  <c r="G4" i="4"/>
  <c r="G8" i="4" s="1"/>
  <c r="E79" i="3"/>
  <c r="G76" i="3"/>
  <c r="G16" i="3"/>
  <c r="C18" i="3" s="1"/>
  <c r="M15" i="3"/>
  <c r="G77" i="3" s="1"/>
  <c r="G15" i="3"/>
  <c r="W14" i="3"/>
  <c r="X14" i="3" s="1"/>
  <c r="Y14" i="3" s="1"/>
  <c r="Z14" i="3" s="1"/>
  <c r="AA14" i="3" s="1"/>
  <c r="AB14" i="3" s="1"/>
  <c r="AC14" i="3" s="1"/>
  <c r="AD14" i="3" s="1"/>
  <c r="V14" i="3"/>
  <c r="U14" i="3"/>
  <c r="M14" i="3"/>
  <c r="M16" i="3" s="1"/>
  <c r="I14" i="3"/>
  <c r="G14" i="3"/>
  <c r="V13" i="3"/>
  <c r="U13" i="3"/>
  <c r="W13" i="3" s="1"/>
  <c r="X13" i="3" s="1"/>
  <c r="Y13" i="3" s="1"/>
  <c r="Z13" i="3" s="1"/>
  <c r="AA13" i="3" s="1"/>
  <c r="AB13" i="3" s="1"/>
  <c r="I13" i="3"/>
  <c r="G11" i="4" l="1"/>
  <c r="G10" i="4"/>
  <c r="C51" i="3"/>
  <c r="E61" i="3" s="1"/>
  <c r="E57" i="3" s="1"/>
  <c r="M17" i="3"/>
  <c r="U15" i="3" s="1"/>
  <c r="U16" i="3" s="1"/>
  <c r="U17" i="3" s="1"/>
  <c r="V15" i="3" s="1"/>
  <c r="V16" i="3" s="1"/>
  <c r="V17" i="3" s="1"/>
  <c r="W15" i="3" s="1"/>
  <c r="W16" i="3" s="1"/>
  <c r="W17" i="3" s="1"/>
  <c r="X15" i="3" s="1"/>
  <c r="X16" i="3" s="1"/>
  <c r="X17" i="3" s="1"/>
  <c r="Y15" i="3" s="1"/>
  <c r="Y16" i="3" s="1"/>
  <c r="Y17" i="3" s="1"/>
  <c r="Z15" i="3" s="1"/>
  <c r="Z16" i="3" s="1"/>
  <c r="Z17" i="3" s="1"/>
  <c r="AA15" i="3" s="1"/>
  <c r="AA16" i="3" s="1"/>
  <c r="AA17" i="3" s="1"/>
  <c r="AB15" i="3" s="1"/>
  <c r="AB16" i="3" s="1"/>
  <c r="AB17" i="3" s="1"/>
  <c r="AC15" i="3" s="1"/>
  <c r="AC16" i="3" s="1"/>
  <c r="AC17" i="3" s="1"/>
  <c r="AD15" i="3" s="1"/>
  <c r="AD16" i="3" s="1"/>
  <c r="AD17" i="3" s="1"/>
  <c r="AD13" i="3"/>
  <c r="AC13" i="3"/>
  <c r="E69" i="3" l="1"/>
  <c r="E65" i="3"/>
  <c r="E64" i="3" s="1"/>
  <c r="E85" i="3" l="1"/>
  <c r="E88" i="3" s="1"/>
  <c r="E76" i="3"/>
  <c r="E68" i="3"/>
  <c r="E66" i="3" s="1"/>
  <c r="E62" i="3"/>
  <c r="E63" i="3" s="1"/>
  <c r="E67" i="3" l="1"/>
  <c r="E78" i="3"/>
  <c r="E77" i="3" s="1"/>
  <c r="E80" i="3" s="1"/>
  <c r="G78" i="3" s="1"/>
  <c r="B24" i="2" l="1"/>
  <c r="B25" i="2" s="1"/>
  <c r="B26" i="2" s="1"/>
  <c r="B20" i="2"/>
  <c r="B22" i="2" s="1"/>
  <c r="B23" i="2" s="1"/>
  <c r="B17" i="2"/>
  <c r="B13" i="2"/>
  <c r="B7" i="2"/>
  <c r="B5" i="2"/>
  <c r="C18" i="1" l="1"/>
  <c r="C19" i="1" l="1"/>
  <c r="B11" i="1"/>
  <c r="B12" i="1" s="1"/>
  <c r="C20" i="1" l="1"/>
  <c r="B2" i="1"/>
  <c r="B3" i="1" s="1"/>
  <c r="B4" i="1" s="1"/>
  <c r="B5" i="1" s="1"/>
  <c r="B6" i="1" s="1"/>
  <c r="B7" i="1" s="1"/>
  <c r="C12" i="1" l="1"/>
</calcChain>
</file>

<file path=xl/comments1.xml><?xml version="1.0" encoding="utf-8"?>
<comments xmlns="http://schemas.openxmlformats.org/spreadsheetml/2006/main">
  <authors>
    <author>Elkin Cataño</author>
  </authors>
  <commentList>
    <comment ref="T11" authorId="0" shapeId="0">
      <text>
        <r>
          <rPr>
            <b/>
            <sz val="9"/>
            <color indexed="81"/>
            <rFont val="Tahoma"/>
            <family val="2"/>
          </rPr>
          <t>Elkin Cataño:</t>
        </r>
        <r>
          <rPr>
            <sz val="9"/>
            <color indexed="81"/>
            <rFont val="Tahoma"/>
            <family val="2"/>
          </rPr>
          <t xml:space="preserve">
A partir del número de Reynolds se determina si el flujo es laminar, de transición o turbulento</t>
        </r>
      </text>
    </comment>
    <comment ref="M17" authorId="0" shapeId="0">
      <text>
        <r>
          <rPr>
            <b/>
            <sz val="9"/>
            <color indexed="81"/>
            <rFont val="Tahoma"/>
            <family val="2"/>
          </rPr>
          <t>Elkin Cataño:</t>
        </r>
        <r>
          <rPr>
            <sz val="9"/>
            <color indexed="81"/>
            <rFont val="Tahoma"/>
            <family val="2"/>
          </rPr>
          <t xml:space="preserve">
La ecuación de Stokes es válida para Reynolds &lt; 1. Flujo laminar</t>
        </r>
      </text>
    </comment>
    <comment ref="B51" authorId="0" shapeId="0">
      <text>
        <r>
          <rPr>
            <b/>
            <sz val="9"/>
            <color indexed="81"/>
            <rFont val="Tahoma"/>
            <family val="2"/>
          </rPr>
          <t>Elkin Cataño:</t>
        </r>
        <r>
          <rPr>
            <sz val="9"/>
            <color indexed="81"/>
            <rFont val="Tahoma"/>
            <family val="2"/>
          </rPr>
          <t xml:space="preserve">
Elegir la Velocidad de sedimentación más coherente entre la Metodología A y la Metodología B</t>
        </r>
      </text>
    </comment>
    <comment ref="E58" authorId="0" shapeId="0">
      <text>
        <r>
          <rPr>
            <b/>
            <sz val="9"/>
            <color indexed="81"/>
            <rFont val="Tahoma"/>
            <family val="2"/>
          </rPr>
          <t>Elkin Cataño:</t>
        </r>
        <r>
          <rPr>
            <sz val="9"/>
            <color indexed="81"/>
            <rFont val="Tahoma"/>
            <family val="2"/>
          </rPr>
          <t xml:space="preserve">
Para una eficiencia del 90%, K=3.6 . Gráfica Porcentaje de remoción vs Carga de tartamiento</t>
        </r>
      </text>
    </comment>
    <comment ref="E75" authorId="0" shapeId="0">
      <text>
        <r>
          <rPr>
            <b/>
            <sz val="9"/>
            <color indexed="81"/>
            <rFont val="Tahoma"/>
            <family val="2"/>
          </rPr>
          <t>Elkin Cataño:</t>
        </r>
        <r>
          <rPr>
            <sz val="9"/>
            <color indexed="81"/>
            <rFont val="Tahoma"/>
            <family val="2"/>
          </rPr>
          <t xml:space="preserve">
0.001m para concreto</t>
        </r>
      </text>
    </comment>
    <comment ref="G75" authorId="0" shapeId="0">
      <text>
        <r>
          <rPr>
            <b/>
            <sz val="9"/>
            <color indexed="81"/>
            <rFont val="Tahoma"/>
            <family val="2"/>
          </rPr>
          <t>Elkin Cataño:</t>
        </r>
        <r>
          <rPr>
            <sz val="9"/>
            <color indexed="81"/>
            <rFont val="Tahoma"/>
            <family val="2"/>
          </rPr>
          <t xml:space="preserve">
Para arenas finas unigranulares</t>
        </r>
      </text>
    </comment>
    <comment ref="D85" authorId="0" shapeId="0">
      <text>
        <r>
          <rPr>
            <b/>
            <sz val="9"/>
            <color indexed="81"/>
            <rFont val="Tahoma"/>
            <family val="2"/>
          </rPr>
          <t>Elkin Cataño:</t>
        </r>
        <r>
          <rPr>
            <sz val="9"/>
            <color indexed="81"/>
            <rFont val="Tahoma"/>
            <family val="2"/>
          </rPr>
          <t xml:space="preserve">
T1 = b</t>
        </r>
      </text>
    </comment>
    <comment ref="D86" authorId="0" shapeId="0">
      <text>
        <r>
          <rPr>
            <b/>
            <sz val="9"/>
            <color indexed="81"/>
            <rFont val="Tahoma"/>
            <family val="2"/>
          </rPr>
          <t>Elkin Cataño:</t>
        </r>
        <r>
          <rPr>
            <sz val="9"/>
            <color indexed="81"/>
            <rFont val="Tahoma"/>
            <family val="2"/>
          </rPr>
          <t xml:space="preserve">
Características del canal que antecede la transición. Para un canal rectangular corresponde a la base de mismo</t>
        </r>
      </text>
    </comment>
    <comment ref="E87" authorId="0" shapeId="0">
      <text>
        <r>
          <rPr>
            <b/>
            <sz val="9"/>
            <color indexed="81"/>
            <rFont val="Tahoma"/>
            <family val="2"/>
          </rPr>
          <t>Elkin Cataño:</t>
        </r>
        <r>
          <rPr>
            <sz val="9"/>
            <color indexed="81"/>
            <rFont val="Tahoma"/>
            <family val="2"/>
          </rPr>
          <t xml:space="preserve">
Se recomienda que sea entre 12 y 30°</t>
        </r>
      </text>
    </comment>
  </commentList>
</comments>
</file>

<file path=xl/comments2.xml><?xml version="1.0" encoding="utf-8"?>
<comments xmlns="http://schemas.openxmlformats.org/spreadsheetml/2006/main">
  <authors>
    <author>Elkin Cataño</author>
  </authors>
  <commentList>
    <comment ref="D24" authorId="0" shapeId="0">
      <text>
        <r>
          <rPr>
            <b/>
            <sz val="9"/>
            <color indexed="81"/>
            <rFont val="Tahoma"/>
            <family val="2"/>
          </rPr>
          <t>Elkin Cataño:</t>
        </r>
        <r>
          <rPr>
            <sz val="9"/>
            <color indexed="81"/>
            <rFont val="Tahoma"/>
            <family val="2"/>
          </rPr>
          <t xml:space="preserve">
Constante experimental. "Teoría y práctica de la purificación del agua. Jorge Arboleda Valencia"</t>
        </r>
      </text>
    </comment>
    <comment ref="D27" authorId="0" shapeId="0">
      <text>
        <r>
          <rPr>
            <b/>
            <sz val="9"/>
            <color indexed="81"/>
            <rFont val="Tahoma"/>
            <family val="2"/>
          </rPr>
          <t>Elkin Cataño:</t>
        </r>
        <r>
          <rPr>
            <sz val="9"/>
            <color indexed="81"/>
            <rFont val="Tahoma"/>
            <family val="2"/>
          </rPr>
          <t xml:space="preserve">
Viscosidad a 20°C</t>
        </r>
      </text>
    </comment>
    <comment ref="D29" authorId="0" shapeId="0">
      <text>
        <r>
          <rPr>
            <b/>
            <sz val="9"/>
            <color indexed="81"/>
            <rFont val="Tahoma"/>
            <family val="2"/>
          </rPr>
          <t>Elkin Cataño:</t>
        </r>
        <r>
          <rPr>
            <sz val="9"/>
            <color indexed="81"/>
            <rFont val="Tahoma"/>
            <family val="2"/>
          </rPr>
          <t xml:space="preserve">
Para partículas casi esféricas</t>
        </r>
      </text>
    </comment>
    <comment ref="F29" authorId="0" shapeId="0">
      <text>
        <r>
          <rPr>
            <b/>
            <sz val="9"/>
            <color indexed="81"/>
            <rFont val="Tahoma"/>
            <family val="2"/>
          </rPr>
          <t>Elkin Cataño:</t>
        </r>
        <r>
          <rPr>
            <sz val="9"/>
            <color indexed="81"/>
            <rFont val="Tahoma"/>
            <family val="2"/>
          </rPr>
          <t xml:space="preserve">
para partículas redondeadas. Descripción  Hidráulica  de  la  Batería  de  Filtros  de  Planta  No.  1  de  La  Atarjea. Félix Willy, Cristóbal Escobar.</t>
        </r>
      </text>
    </comment>
    <comment ref="D41" authorId="0" shapeId="0">
      <text>
        <r>
          <rPr>
            <b/>
            <sz val="9"/>
            <color indexed="81"/>
            <rFont val="Tahoma"/>
            <family val="2"/>
          </rPr>
          <t>Elkin Cataño:</t>
        </r>
        <r>
          <rPr>
            <sz val="9"/>
            <color indexed="81"/>
            <rFont val="Tahoma"/>
            <family val="2"/>
          </rPr>
          <t xml:space="preserve">
Constante experimental. "Teoría y práctica de la purificación del agua. Jorge Arboleda Valencia"</t>
        </r>
      </text>
    </comment>
    <comment ref="D44" authorId="0" shapeId="0">
      <text>
        <r>
          <rPr>
            <b/>
            <sz val="9"/>
            <color indexed="81"/>
            <rFont val="Tahoma"/>
            <family val="2"/>
          </rPr>
          <t>Elkin Cataño:</t>
        </r>
        <r>
          <rPr>
            <sz val="9"/>
            <color indexed="81"/>
            <rFont val="Tahoma"/>
            <family val="2"/>
          </rPr>
          <t xml:space="preserve">
Viscosidad a 20°C</t>
        </r>
      </text>
    </comment>
    <comment ref="D46" authorId="0" shapeId="0">
      <text>
        <r>
          <rPr>
            <b/>
            <sz val="9"/>
            <color indexed="81"/>
            <rFont val="Tahoma"/>
            <family val="2"/>
          </rPr>
          <t>Elkin Cataño:</t>
        </r>
        <r>
          <rPr>
            <sz val="9"/>
            <color indexed="81"/>
            <rFont val="Tahoma"/>
            <family val="2"/>
          </rPr>
          <t xml:space="preserve">
Para partículas casi esféricas</t>
        </r>
      </text>
    </comment>
    <comment ref="F46" authorId="0" shapeId="0">
      <text>
        <r>
          <rPr>
            <b/>
            <sz val="9"/>
            <color indexed="81"/>
            <rFont val="Tahoma"/>
            <family val="2"/>
          </rPr>
          <t>Elkin Cataño:</t>
        </r>
        <r>
          <rPr>
            <sz val="9"/>
            <color indexed="81"/>
            <rFont val="Tahoma"/>
            <family val="2"/>
          </rPr>
          <t xml:space="preserve">
para partículas redondeadas. Descripción  Hidráulica  de  la  Batería  de  Filtros  de  Planta  No.  1  de  La  Atarjea. Félix Willy, Cristóbal Escobar.</t>
        </r>
      </text>
    </comment>
    <comment ref="D48" authorId="0" shapeId="0">
      <text>
        <r>
          <rPr>
            <b/>
            <sz val="9"/>
            <color indexed="81"/>
            <rFont val="Tahoma"/>
            <family val="2"/>
          </rPr>
          <t>Elkin Cataño:</t>
        </r>
        <r>
          <rPr>
            <sz val="9"/>
            <color indexed="81"/>
            <rFont val="Tahoma"/>
            <family val="2"/>
          </rPr>
          <t xml:space="preserve">
Velocidad de retrolavado para expandir el medio filtrante sin arrastrarlo</t>
        </r>
      </text>
    </comment>
  </commentList>
</comments>
</file>

<file path=xl/comments3.xml><?xml version="1.0" encoding="utf-8"?>
<comments xmlns="http://schemas.openxmlformats.org/spreadsheetml/2006/main">
  <authors>
    <author>Elkin Cataño</author>
  </authors>
  <commentList>
    <comment ref="D10" authorId="0" shapeId="0">
      <text>
        <r>
          <rPr>
            <b/>
            <sz val="9"/>
            <color indexed="81"/>
            <rFont val="Tahoma"/>
            <family val="2"/>
          </rPr>
          <t>Elkin Cataño:</t>
        </r>
        <r>
          <rPr>
            <sz val="9"/>
            <color indexed="81"/>
            <rFont val="Tahoma"/>
            <family val="2"/>
          </rPr>
          <t xml:space="preserve">
En la Tabla E.4.38 se recomienda una contración de cloro entre 1 y 6 mg/L</t>
        </r>
      </text>
    </comment>
  </commentList>
</comments>
</file>

<file path=xl/comments4.xml><?xml version="1.0" encoding="utf-8"?>
<comments xmlns="http://schemas.openxmlformats.org/spreadsheetml/2006/main">
  <authors>
    <author>PC_14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Solidios sedimentables
</t>
        </r>
      </text>
    </comment>
  </commentList>
</comments>
</file>

<file path=xl/sharedStrings.xml><?xml version="1.0" encoding="utf-8"?>
<sst xmlns="http://schemas.openxmlformats.org/spreadsheetml/2006/main" count="193" uniqueCount="166">
  <si>
    <r>
      <t>Caudal de diseño (m</t>
    </r>
    <r>
      <rPr>
        <sz val="11"/>
        <color theme="1"/>
        <rFont val="Calibri"/>
        <family val="2"/>
      </rPr>
      <t>³/s</t>
    </r>
    <r>
      <rPr>
        <sz val="11"/>
        <color theme="1"/>
        <rFont val="Calibri"/>
        <family val="2"/>
        <scheme val="minor"/>
      </rPr>
      <t>)</t>
    </r>
  </si>
  <si>
    <r>
      <t>Caudal de diseño (l</t>
    </r>
    <r>
      <rPr>
        <sz val="11"/>
        <color theme="1"/>
        <rFont val="Calibri"/>
        <family val="2"/>
      </rPr>
      <t>/s</t>
    </r>
    <r>
      <rPr>
        <sz val="11"/>
        <color theme="1"/>
        <rFont val="Calibri"/>
        <family val="2"/>
        <scheme val="minor"/>
      </rPr>
      <t>)</t>
    </r>
  </si>
  <si>
    <t>Carga de arena (Kg/d)</t>
  </si>
  <si>
    <t>Masa de Sólido (Kg)</t>
  </si>
  <si>
    <t>Ciclo de operación</t>
  </si>
  <si>
    <t>Densidad del material</t>
  </si>
  <si>
    <r>
      <t>Área del lecho (m</t>
    </r>
    <r>
      <rPr>
        <sz val="11"/>
        <color theme="1"/>
        <rFont val="Calibri"/>
        <family val="2"/>
      </rPr>
      <t>²)</t>
    </r>
  </si>
  <si>
    <t>Espesor de la capa (m)</t>
  </si>
  <si>
    <t>Largo (m)</t>
  </si>
  <si>
    <t>Ancho (m)</t>
  </si>
  <si>
    <t>Modulos a implementar</t>
  </si>
  <si>
    <r>
      <t>Área a implementar por módulo (m</t>
    </r>
    <r>
      <rPr>
        <sz val="11"/>
        <color theme="1"/>
        <rFont val="Calibri"/>
        <family val="2"/>
      </rPr>
      <t>²)</t>
    </r>
  </si>
  <si>
    <r>
      <t>Área total de lechos a implementar (m</t>
    </r>
    <r>
      <rPr>
        <sz val="11"/>
        <color theme="1"/>
        <rFont val="Calibri"/>
        <family val="2"/>
      </rPr>
      <t>²)</t>
    </r>
  </si>
  <si>
    <t>Concentración de solidos (mg/L)</t>
  </si>
  <si>
    <t>sg</t>
  </si>
  <si>
    <t>l/s</t>
  </si>
  <si>
    <t>volumen desarenador  m3</t>
  </si>
  <si>
    <t>tiempo de vaciado min</t>
  </si>
  <si>
    <t>caudal de descarga m3/s</t>
  </si>
  <si>
    <r>
      <t>Volumen de arena (m</t>
    </r>
    <r>
      <rPr>
        <sz val="11"/>
        <color theme="1"/>
        <rFont val="Calibri"/>
        <family val="2"/>
      </rPr>
      <t>³)</t>
    </r>
  </si>
  <si>
    <t>Tanque cloración</t>
  </si>
  <si>
    <t>Caudal l/s</t>
  </si>
  <si>
    <t>Caudal  m3/min</t>
  </si>
  <si>
    <t>Tiempo de almacenamiento (min)</t>
  </si>
  <si>
    <t>D. Volumen total de almacenamiento (m3)</t>
  </si>
  <si>
    <t>DIMENSIONES TANQUE RECTANGULAR</t>
  </si>
  <si>
    <t>ANCHO (m)</t>
  </si>
  <si>
    <t>LARGO (m)</t>
  </si>
  <si>
    <t>ALTURA UTIL (3)</t>
  </si>
  <si>
    <t>VOLUMEN UTIL m3</t>
  </si>
  <si>
    <t>BORDE LIBRE (m)</t>
  </si>
  <si>
    <t xml:space="preserve"> Volumen total del tanque</t>
  </si>
  <si>
    <t xml:space="preserve">diámetro tubería </t>
  </si>
  <si>
    <t xml:space="preserve">Pendiente </t>
  </si>
  <si>
    <t>Caudal (m3/s)</t>
  </si>
  <si>
    <t>Coeficiente HW GRP</t>
  </si>
  <si>
    <t>Diámetro optimo Ec HW (m)</t>
  </si>
  <si>
    <t>Diámetro optimo Ec HW (pul)</t>
  </si>
  <si>
    <t>Diámetro seleccionado(m)</t>
  </si>
  <si>
    <t>Area tubería (m2)</t>
  </si>
  <si>
    <t>Velocidad (m/s)</t>
  </si>
  <si>
    <t>1.  DIÁMETRO Y PESO ESPECÍFICO</t>
  </si>
  <si>
    <t>Diámetro partícula d (mm)</t>
  </si>
  <si>
    <r>
      <t xml:space="preserve">Peso específico del material </t>
    </r>
    <r>
      <rPr>
        <b/>
        <sz val="16"/>
        <color theme="1"/>
        <rFont val="Arial"/>
        <family val="2"/>
      </rPr>
      <t>ρ</t>
    </r>
    <r>
      <rPr>
        <b/>
        <sz val="11"/>
        <color theme="1"/>
        <rFont val="Arial"/>
        <family val="2"/>
      </rPr>
      <t>s (g/cm3)</t>
    </r>
  </si>
  <si>
    <t>Temperatura °C</t>
  </si>
  <si>
    <t>2.  CÁLCULO DE LA VELOCIDAD DE SEDIMENTACIÓN W</t>
  </si>
  <si>
    <t>Metodología A</t>
  </si>
  <si>
    <t>Metodología B</t>
  </si>
  <si>
    <t>Ley de Allen (Para flujo de transición)</t>
  </si>
  <si>
    <t>Arkhangelski (1935)</t>
  </si>
  <si>
    <t>Nomograma Stokes y Sellerio</t>
  </si>
  <si>
    <t>OWENS</t>
  </si>
  <si>
    <t>Scotti – Foglieni</t>
  </si>
  <si>
    <t>STOKES (para flujo laminar)</t>
  </si>
  <si>
    <t>Iteración N°</t>
  </si>
  <si>
    <t>W (m/s)</t>
  </si>
  <si>
    <t>W Stokes (m/s)</t>
  </si>
  <si>
    <t>Constante K</t>
  </si>
  <si>
    <t xml:space="preserve">Diámetro partícula d (mm) </t>
  </si>
  <si>
    <t>Viscosidad cinemática ŋ (cm^2/s)</t>
  </si>
  <si>
    <r>
      <t xml:space="preserve">Peso específico del material </t>
    </r>
    <r>
      <rPr>
        <sz val="16"/>
        <color theme="1"/>
        <rFont val="Arial"/>
        <family val="2"/>
      </rPr>
      <t>ρ</t>
    </r>
    <r>
      <rPr>
        <sz val="11"/>
        <color theme="1"/>
        <rFont val="Calibri"/>
        <family val="2"/>
        <scheme val="minor"/>
      </rPr>
      <t>s (g/cm3)</t>
    </r>
  </si>
  <si>
    <t>W Sellerio (m/s)</t>
  </si>
  <si>
    <t>Reynolds</t>
  </si>
  <si>
    <t>Vs (m/s)</t>
  </si>
  <si>
    <t>Coeficiente de arrastre CD</t>
  </si>
  <si>
    <t>W Promedio método A (m/s)</t>
  </si>
  <si>
    <t>MULTIPLICAR DATOS * 10^(-2) para obtener Viscosidad en unidades de cm^2/s</t>
  </si>
  <si>
    <t>Tabla Arkhangelski (1935)</t>
  </si>
  <si>
    <t>W Final (m/s)</t>
  </si>
  <si>
    <t xml:space="preserve">3. CÁLCULO DE LAS DIMENSIONES DEL DESARENADOR </t>
  </si>
  <si>
    <t>Área Superficial del desarenador  As (m2)</t>
  </si>
  <si>
    <t>Se calcula el Área Superfical, considerando un factor de seguridad a partir de la tabla Porcentaje de remoción vs Carga de tratamiento. Buen comportamiento n=1/3. Para una eficiencia del 90%. K=3.6</t>
  </si>
  <si>
    <t>Coeficiente de seguridad K</t>
  </si>
  <si>
    <t>Caudal Q (m3/s)</t>
  </si>
  <si>
    <t>Altura h (m)</t>
  </si>
  <si>
    <t>Debe estar entre 0.75 y 1.5m (RAS)</t>
  </si>
  <si>
    <t>Área Transversal At (m2)</t>
  </si>
  <si>
    <t>At = h*b</t>
  </si>
  <si>
    <t xml:space="preserve">Velocidad de flujo V (m/s) </t>
  </si>
  <si>
    <t>V = Q/At</t>
  </si>
  <si>
    <t>Ancho desarenador b (m)</t>
  </si>
  <si>
    <t>b=L/4</t>
  </si>
  <si>
    <t>La longitud debe ser mínimo 4 veces el ancho (RAS)</t>
  </si>
  <si>
    <t>Longitud desarenador L (m)</t>
  </si>
  <si>
    <t xml:space="preserve">L= 2 RAIZ(As) </t>
  </si>
  <si>
    <t>Tiempo de retención (s)</t>
  </si>
  <si>
    <t>V/W</t>
  </si>
  <si>
    <t>Esta relación debe ser menor a 20 (RAS)</t>
  </si>
  <si>
    <t>Volumen del tanque (m3)</t>
  </si>
  <si>
    <t>V= h*L*b</t>
  </si>
  <si>
    <t>Carga superficial (m3/m2/día)</t>
  </si>
  <si>
    <t>4. VELOCIDAD LÍMITE QUE RESUSPENDE EL MATERIAL</t>
  </si>
  <si>
    <t>Factor de fricción para desplazamiento horizontal (f)</t>
  </si>
  <si>
    <t>Velocidad límite que resuspende el material</t>
  </si>
  <si>
    <t>rugosidad absoluta Ks (m)</t>
  </si>
  <si>
    <t>Factor de forma k</t>
  </si>
  <si>
    <t xml:space="preserve">Radio hidráulico de la sección vertical R (m) </t>
  </si>
  <si>
    <t>Reynolds para desplazamiento horizontal NR</t>
  </si>
  <si>
    <t>Velocidad horizontal VH (m/s)</t>
  </si>
  <si>
    <t>Velocidad límite que resuspende</t>
  </si>
  <si>
    <t>Viscosidad cinemática del agua v (cm^2/s)</t>
  </si>
  <si>
    <t>Si VH &lt; Vd no habrá resuspensión de material</t>
  </si>
  <si>
    <t>5. CÁLCULO DE LA LONGITUD DE LA TRANSICIÓN</t>
  </si>
  <si>
    <t>Espejo de agua del desarenador B (m)</t>
  </si>
  <si>
    <t>Espejo de agua en el canal de entrada b (m)</t>
  </si>
  <si>
    <t>Ángulo de divergencia ө</t>
  </si>
  <si>
    <t>Longitud de la transición L1 (m)</t>
  </si>
  <si>
    <t>Ingresar datos</t>
  </si>
  <si>
    <t>Resultados</t>
  </si>
  <si>
    <t>Caudal diseño Qd (L/s)</t>
  </si>
  <si>
    <t>Volumen de la Trampra V (L)</t>
  </si>
  <si>
    <t>tiempo de retención hidráulico tr (s)</t>
  </si>
  <si>
    <t>Área superficial de la trampa A (m2)</t>
  </si>
  <si>
    <t>Velocidad ascendente Va (m/s)</t>
  </si>
  <si>
    <t>Largo Trampa L (m)</t>
  </si>
  <si>
    <t>Ancho Trampa B (m)</t>
  </si>
  <si>
    <t>Altura Trampa H (m)</t>
  </si>
  <si>
    <t>Ubicación del bafle Ub (m)</t>
  </si>
  <si>
    <t>Altura del bafle Hb (m)</t>
  </si>
  <si>
    <t>Espacio entre bafle y fondo (m)</t>
  </si>
  <si>
    <t>RAS 2000</t>
  </si>
  <si>
    <t>Caudal (m3/día)</t>
  </si>
  <si>
    <t>Rata de filtración (m3/m2/día)</t>
  </si>
  <si>
    <t>Área del filtro (m2)</t>
  </si>
  <si>
    <t>PARA UN FLITRO RECTANGULAR</t>
  </si>
  <si>
    <t>Longitud L (m)</t>
  </si>
  <si>
    <t>Ancho de filtro (m)</t>
  </si>
  <si>
    <t>PANTALLA DE DISTRIBUCIÓN</t>
  </si>
  <si>
    <t>Caudal de retrolavado (L/s)</t>
  </si>
  <si>
    <t>Velocidad de paso entre orificios Vo (m/s)</t>
  </si>
  <si>
    <t>Área total orificios Ao (m2)</t>
  </si>
  <si>
    <t>Diámetro del orificio (m)</t>
  </si>
  <si>
    <t>Área de cada orificio Aorf (m2)</t>
  </si>
  <si>
    <t>Número de orificios</t>
  </si>
  <si>
    <t>N° de filas de orificios</t>
  </si>
  <si>
    <t>N° de columnas de orificios</t>
  </si>
  <si>
    <t>PÉRDIDAS DE CARGA (Ec Fair and Hatch)</t>
  </si>
  <si>
    <t>ARENA</t>
  </si>
  <si>
    <t>CARBÓN ACTIVADO</t>
  </si>
  <si>
    <t>GRAVA</t>
  </si>
  <si>
    <t>Coeficiente de Kozeny (f)</t>
  </si>
  <si>
    <t>Altura del lecho L (cm)</t>
  </si>
  <si>
    <t>Gravedad g (cm/s2)</t>
  </si>
  <si>
    <t>viscosidad cinemática ץ (cm2/s)</t>
  </si>
  <si>
    <t>Porosidad Po</t>
  </si>
  <si>
    <t>Coeficiente de esfericidad Ce</t>
  </si>
  <si>
    <t>Diámetro del material Dc (cm)</t>
  </si>
  <si>
    <t>Velocidad de filtración v (cm/s) Q/A</t>
  </si>
  <si>
    <t>Pérdida Hf (cm)</t>
  </si>
  <si>
    <t>Pérdida TOTAL (cm)</t>
  </si>
  <si>
    <t xml:space="preserve">LAVADO DE FILTROS </t>
  </si>
  <si>
    <t>PÉRDIDAS DE CARGA - RETROLAVADO</t>
  </si>
  <si>
    <t>Diámetro de la arena Dc (cm)</t>
  </si>
  <si>
    <t>Velocidad de filtración v (cm/s)</t>
  </si>
  <si>
    <t>Caudal q (m3/s)</t>
  </si>
  <si>
    <t>Diámetro de la tubería de entrega (pulgadas)</t>
  </si>
  <si>
    <t>Área (m2)</t>
  </si>
  <si>
    <t>Velocidad de salida del agua del filtro hacia cloración (m/s)</t>
  </si>
  <si>
    <t>Dosis de Cloro (Hipoclorito de calcio)</t>
  </si>
  <si>
    <t>Concentración de cloro en el efluente (mg/L)</t>
  </si>
  <si>
    <t>% de cloro en el hipoclorito de calcio</t>
  </si>
  <si>
    <t>Concentración de hipoclorito en el efluente (mg/L)</t>
  </si>
  <si>
    <t>Concentración solución madre de cloro (mg/L)</t>
  </si>
  <si>
    <t>Volumen de solución madre de cloro (L)</t>
  </si>
  <si>
    <t>Cantidad necesaria de hipoclorito para preparar solución madre de cloro (gramos)</t>
  </si>
  <si>
    <t>Solución madre de cloro a dosificar en agua filtrada (L/s)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</si>
</sst>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0.00\ &quot;l/s&quot;"/>
    <numFmt numFmtId="165" formatCode="0\ &quot;días&quot;"/>
    <numFmt numFmtId="166" formatCode="0.00\ &quot;Kg&quot;"/>
    <numFmt numFmtId="167" formatCode="0\ &quot;Kg/m3&quot;"/>
    <numFmt numFmtId="168" formatCode="0.0\ &quot;m&quot;"/>
    <numFmt numFmtId="169" formatCode="0.00\ &quot;m2&quot;"/>
    <numFmt numFmtId="170" formatCode="0.0\ &quot;mg/l&quot;"/>
    <numFmt numFmtId="171" formatCode="0.0000\ &quot;m3/s&quot;"/>
    <numFmt numFmtId="172" formatCode="0.000&quot;Kg/d&quot;"/>
    <numFmt numFmtId="173" formatCode="0.0000000"/>
    <numFmt numFmtId="174" formatCode="0.000\ &quot;m2&quot;"/>
    <numFmt numFmtId="175" formatCode="0.00\ &quot;m3&quot;"/>
    <numFmt numFmtId="176" formatCode="0.000"/>
    <numFmt numFmtId="177" formatCode="0.0"/>
    <numFmt numFmtId="178" formatCode="0.0000"/>
    <numFmt numFmtId="179" formatCode="0.000000000"/>
    <numFmt numFmtId="180" formatCode="0.00000"/>
    <numFmt numFmtId="181" formatCode="0.000000"/>
  </numFmts>
  <fonts count="17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b/>
      <sz val="16"/>
      <color theme="1"/>
      <name val="Arial"/>
      <family val="2"/>
    </font>
    <font>
      <b/>
      <sz val="14"/>
      <color theme="1"/>
      <name val="Arial"/>
      <family val="2"/>
    </font>
    <font>
      <sz val="16"/>
      <color theme="1"/>
      <name val="Arial"/>
      <family val="2"/>
    </font>
    <font>
      <sz val="9"/>
      <color indexed="81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09">
    <xf numFmtId="0" fontId="0" fillId="0" borderId="0" xfId="0"/>
    <xf numFmtId="164" fontId="0" fillId="0" borderId="0" xfId="0" applyNumberFormat="1"/>
    <xf numFmtId="166" fontId="0" fillId="0" borderId="0" xfId="0" applyNumberFormat="1"/>
    <xf numFmtId="165" fontId="0" fillId="2" borderId="0" xfId="0" applyNumberFormat="1" applyFill="1"/>
    <xf numFmtId="167" fontId="0" fillId="2" borderId="0" xfId="0" applyNumberFormat="1" applyFill="1"/>
    <xf numFmtId="168" fontId="0" fillId="2" borderId="0" xfId="0" applyNumberFormat="1" applyFill="1"/>
    <xf numFmtId="169" fontId="0" fillId="0" borderId="0" xfId="0" applyNumberFormat="1"/>
    <xf numFmtId="168" fontId="0" fillId="3" borderId="0" xfId="0" applyNumberFormat="1" applyFill="1"/>
    <xf numFmtId="0" fontId="1" fillId="0" borderId="0" xfId="0" applyFont="1"/>
    <xf numFmtId="0" fontId="0" fillId="0" borderId="0" xfId="0" applyAlignment="1">
      <alignment horizontal="center" vertical="center"/>
    </xf>
    <xf numFmtId="170" fontId="0" fillId="2" borderId="0" xfId="0" applyNumberFormat="1" applyFill="1"/>
    <xf numFmtId="171" fontId="0" fillId="2" borderId="0" xfId="0" applyNumberFormat="1" applyFill="1"/>
    <xf numFmtId="172" fontId="0" fillId="0" borderId="0" xfId="0" applyNumberFormat="1"/>
    <xf numFmtId="173" fontId="0" fillId="0" borderId="0" xfId="0" applyNumberFormat="1"/>
    <xf numFmtId="174" fontId="0" fillId="0" borderId="0" xfId="0" applyNumberFormat="1"/>
    <xf numFmtId="175" fontId="0" fillId="4" borderId="0" xfId="0" applyNumberFormat="1" applyFill="1"/>
    <xf numFmtId="176" fontId="0" fillId="0" borderId="0" xfId="0" applyNumberFormat="1"/>
    <xf numFmtId="0" fontId="0" fillId="0" borderId="1" xfId="0" applyBorder="1"/>
    <xf numFmtId="2" fontId="0" fillId="0" borderId="1" xfId="0" applyNumberFormat="1" applyBorder="1"/>
    <xf numFmtId="0" fontId="5" fillId="0" borderId="1" xfId="0" applyFont="1" applyBorder="1"/>
    <xf numFmtId="2" fontId="0" fillId="0" borderId="1" xfId="0" applyNumberForma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76" fontId="6" fillId="5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/>
    <xf numFmtId="177" fontId="0" fillId="0" borderId="2" xfId="0" applyNumberForma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2" fontId="6" fillId="6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7" fillId="6" borderId="1" xfId="0" applyNumberFormat="1" applyFont="1" applyFill="1" applyBorder="1" applyAlignment="1">
      <alignment horizontal="center" vertical="center"/>
    </xf>
    <xf numFmtId="0" fontId="4" fillId="6" borderId="0" xfId="0" applyFont="1" applyFill="1" applyAlignment="1">
      <alignment horizontal="center"/>
    </xf>
    <xf numFmtId="178" fontId="8" fillId="6" borderId="0" xfId="0" applyNumberFormat="1" applyFont="1" applyFill="1"/>
    <xf numFmtId="2" fontId="0" fillId="0" borderId="0" xfId="0" applyNumberFormat="1"/>
    <xf numFmtId="177" fontId="0" fillId="0" borderId="0" xfId="0" applyNumberFormat="1"/>
    <xf numFmtId="0" fontId="8" fillId="6" borderId="0" xfId="0" applyFont="1" applyFill="1"/>
    <xf numFmtId="0" fontId="9" fillId="0" borderId="0" xfId="1"/>
    <xf numFmtId="0" fontId="10" fillId="0" borderId="0" xfId="1" applyFont="1"/>
    <xf numFmtId="0" fontId="10" fillId="0" borderId="1" xfId="1" applyFont="1" applyBorder="1" applyAlignment="1">
      <alignment vertical="center" wrapText="1"/>
    </xf>
    <xf numFmtId="0" fontId="9" fillId="7" borderId="1" xfId="1" applyFill="1" applyBorder="1" applyAlignment="1">
      <alignment horizontal="center" vertical="center"/>
    </xf>
    <xf numFmtId="0" fontId="9" fillId="0" borderId="0" xfId="1" applyBorder="1" applyAlignment="1">
      <alignment horizontal="center" vertical="center"/>
    </xf>
    <xf numFmtId="0" fontId="11" fillId="0" borderId="0" xfId="1" applyFont="1" applyFill="1" applyBorder="1" applyAlignment="1">
      <alignment vertical="center" wrapText="1"/>
    </xf>
    <xf numFmtId="176" fontId="12" fillId="0" borderId="0" xfId="1" applyNumberFormat="1" applyFont="1" applyFill="1" applyBorder="1" applyAlignment="1">
      <alignment vertical="center"/>
    </xf>
    <xf numFmtId="0" fontId="12" fillId="0" borderId="0" xfId="1" applyFont="1" applyFill="1" applyBorder="1"/>
    <xf numFmtId="0" fontId="10" fillId="0" borderId="1" xfId="1" applyFont="1" applyBorder="1" applyAlignment="1">
      <alignment horizontal="center" vertical="center" wrapText="1"/>
    </xf>
    <xf numFmtId="0" fontId="9" fillId="0" borderId="1" xfId="1" applyBorder="1" applyAlignment="1">
      <alignment horizontal="center" vertical="center"/>
    </xf>
    <xf numFmtId="0" fontId="9" fillId="0" borderId="0" xfId="1" applyBorder="1"/>
    <xf numFmtId="0" fontId="14" fillId="0" borderId="0" xfId="1" applyFont="1"/>
    <xf numFmtId="0" fontId="9" fillId="0" borderId="1" xfId="1" applyBorder="1" applyAlignment="1">
      <alignment horizontal="center" vertical="center" wrapText="1"/>
    </xf>
    <xf numFmtId="0" fontId="9" fillId="0" borderId="1" xfId="1" applyBorder="1" applyAlignment="1">
      <alignment horizontal="center" vertical="center"/>
    </xf>
    <xf numFmtId="0" fontId="9" fillId="0" borderId="0" xfId="1" applyFill="1"/>
    <xf numFmtId="0" fontId="10" fillId="0" borderId="1" xfId="1" applyFont="1" applyBorder="1" applyAlignment="1">
      <alignment horizontal="center" vertical="center"/>
    </xf>
    <xf numFmtId="0" fontId="9" fillId="0" borderId="1" xfId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Border="1" applyAlignment="1">
      <alignment horizontal="center" vertical="center" wrapText="1"/>
    </xf>
    <xf numFmtId="0" fontId="9" fillId="0" borderId="1" xfId="1" applyBorder="1" applyAlignment="1">
      <alignment wrapText="1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178" fontId="9" fillId="8" borderId="1" xfId="1" applyNumberFormat="1" applyFill="1" applyBorder="1" applyAlignment="1">
      <alignment horizontal="center" vertical="center"/>
    </xf>
    <xf numFmtId="178" fontId="9" fillId="8" borderId="1" xfId="1" applyNumberFormat="1" applyFill="1" applyBorder="1" applyAlignment="1">
      <alignment horizontal="center" vertical="center" wrapText="1"/>
    </xf>
    <xf numFmtId="0" fontId="9" fillId="0" borderId="1" xfId="1" applyBorder="1"/>
    <xf numFmtId="0" fontId="9" fillId="8" borderId="1" xfId="1" applyFill="1" applyBorder="1"/>
    <xf numFmtId="179" fontId="9" fillId="0" borderId="1" xfId="1" applyNumberFormat="1" applyBorder="1"/>
    <xf numFmtId="180" fontId="10" fillId="8" borderId="1" xfId="1" applyNumberFormat="1" applyFont="1" applyFill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9" borderId="0" xfId="1" applyFont="1" applyFill="1" applyAlignment="1">
      <alignment horizontal="center" wrapText="1"/>
    </xf>
    <xf numFmtId="0" fontId="10" fillId="9" borderId="0" xfId="1" applyFont="1" applyFill="1" applyAlignment="1">
      <alignment horizontal="center" wrapText="1"/>
    </xf>
    <xf numFmtId="0" fontId="10" fillId="0" borderId="0" xfId="1" applyFont="1" applyFill="1" applyAlignment="1">
      <alignment wrapText="1"/>
    </xf>
    <xf numFmtId="0" fontId="10" fillId="0" borderId="0" xfId="1" applyFont="1" applyAlignment="1">
      <alignment horizontal="center" vertical="center"/>
    </xf>
    <xf numFmtId="0" fontId="10" fillId="10" borderId="0" xfId="1" applyFont="1" applyFill="1" applyAlignment="1">
      <alignment horizontal="center" wrapText="1"/>
    </xf>
    <xf numFmtId="181" fontId="10" fillId="7" borderId="1" xfId="1" applyNumberFormat="1" applyFont="1" applyFill="1" applyBorder="1" applyAlignment="1">
      <alignment horizontal="center" vertical="center"/>
    </xf>
    <xf numFmtId="2" fontId="9" fillId="8" borderId="1" xfId="1" applyNumberFormat="1" applyFill="1" applyBorder="1" applyAlignment="1">
      <alignment horizontal="center" vertical="center"/>
    </xf>
    <xf numFmtId="178" fontId="9" fillId="7" borderId="1" xfId="1" applyNumberFormat="1" applyFill="1" applyBorder="1" applyAlignment="1">
      <alignment horizontal="center" vertical="center" wrapText="1"/>
    </xf>
    <xf numFmtId="181" fontId="9" fillId="8" borderId="1" xfId="1" applyNumberFormat="1" applyFill="1" applyBorder="1" applyAlignment="1">
      <alignment horizontal="center" vertical="center" wrapText="1"/>
    </xf>
    <xf numFmtId="0" fontId="9" fillId="0" borderId="1" xfId="1" applyFill="1" applyBorder="1" applyAlignment="1">
      <alignment horizontal="center" vertical="center" wrapText="1"/>
    </xf>
    <xf numFmtId="0" fontId="9" fillId="0" borderId="0" xfId="1" applyFill="1" applyBorder="1"/>
    <xf numFmtId="0" fontId="10" fillId="0" borderId="0" xfId="1" applyFont="1" applyFill="1" applyBorder="1" applyAlignment="1">
      <alignment horizontal="left" vertical="center"/>
    </xf>
    <xf numFmtId="0" fontId="9" fillId="0" borderId="0" xfId="1" applyFill="1" applyBorder="1" applyAlignment="1">
      <alignment horizontal="center" wrapText="1"/>
    </xf>
    <xf numFmtId="0" fontId="9" fillId="0" borderId="0" xfId="1" applyFill="1" applyBorder="1" applyAlignment="1">
      <alignment wrapText="1"/>
    </xf>
    <xf numFmtId="0" fontId="9" fillId="0" borderId="1" xfId="1" applyFill="1" applyBorder="1" applyAlignment="1">
      <alignment wrapText="1"/>
    </xf>
    <xf numFmtId="176" fontId="9" fillId="0" borderId="1" xfId="1" applyNumberFormat="1" applyFill="1" applyBorder="1" applyAlignment="1">
      <alignment horizontal="center" vertical="center"/>
    </xf>
    <xf numFmtId="2" fontId="9" fillId="0" borderId="1" xfId="1" applyNumberFormat="1" applyFill="1" applyBorder="1" applyAlignment="1">
      <alignment horizontal="center" vertical="center"/>
    </xf>
    <xf numFmtId="0" fontId="9" fillId="0" borderId="1" xfId="1" applyFont="1" applyFill="1" applyBorder="1" applyAlignment="1">
      <alignment wrapText="1"/>
    </xf>
    <xf numFmtId="178" fontId="9" fillId="0" borderId="1" xfId="1" applyNumberForma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9" fillId="0" borderId="1" xfId="1" applyFill="1" applyBorder="1"/>
    <xf numFmtId="0" fontId="10" fillId="0" borderId="0" xfId="1" applyFont="1" applyFill="1" applyBorder="1"/>
    <xf numFmtId="0" fontId="10" fillId="0" borderId="1" xfId="1" applyFont="1" applyFill="1" applyBorder="1" applyAlignment="1">
      <alignment wrapText="1"/>
    </xf>
    <xf numFmtId="178" fontId="9" fillId="0" borderId="1" xfId="1" applyNumberFormat="1" applyFill="1" applyBorder="1" applyAlignment="1">
      <alignment horizontal="center" vertical="center" wrapText="1"/>
    </xf>
    <xf numFmtId="0" fontId="10" fillId="0" borderId="1" xfId="1" applyFont="1" applyBorder="1" applyAlignment="1">
      <alignment wrapText="1"/>
    </xf>
    <xf numFmtId="178" fontId="9" fillId="0" borderId="1" xfId="1" applyNumberFormat="1" applyBorder="1" applyAlignment="1">
      <alignment horizontal="center" vertical="center"/>
    </xf>
    <xf numFmtId="176" fontId="9" fillId="8" borderId="1" xfId="1" applyNumberFormat="1" applyFill="1" applyBorder="1" applyAlignment="1">
      <alignment horizontal="center" vertical="center"/>
    </xf>
    <xf numFmtId="0" fontId="9" fillId="7" borderId="0" xfId="1" applyFont="1" applyFill="1" applyBorder="1" applyAlignment="1">
      <alignment horizontal="center" vertical="center" wrapText="1"/>
    </xf>
    <xf numFmtId="0" fontId="9" fillId="8" borderId="0" xfId="1" applyFont="1" applyFill="1" applyBorder="1" applyAlignment="1">
      <alignment horizontal="center" vertical="center" wrapText="1"/>
    </xf>
    <xf numFmtId="1" fontId="9" fillId="8" borderId="1" xfId="1" applyNumberFormat="1" applyFill="1" applyBorder="1" applyAlignment="1">
      <alignment horizontal="center" vertical="center"/>
    </xf>
    <xf numFmtId="0" fontId="9" fillId="8" borderId="1" xfId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 wrapText="1"/>
    </xf>
    <xf numFmtId="0" fontId="9" fillId="7" borderId="1" xfId="1" applyFill="1" applyBorder="1"/>
    <xf numFmtId="0" fontId="9" fillId="11" borderId="1" xfId="1" applyFill="1" applyBorder="1"/>
    <xf numFmtId="0" fontId="10" fillId="0" borderId="1" xfId="1" applyFont="1" applyBorder="1"/>
    <xf numFmtId="178" fontId="9" fillId="11" borderId="1" xfId="1" applyNumberFormat="1" applyFill="1" applyBorder="1"/>
    <xf numFmtId="1" fontId="9" fillId="11" borderId="1" xfId="1" applyNumberFormat="1" applyFill="1" applyBorder="1"/>
    <xf numFmtId="0" fontId="10" fillId="0" borderId="1" xfId="1" applyFont="1" applyBorder="1" applyAlignment="1">
      <alignment horizontal="center"/>
    </xf>
    <xf numFmtId="2" fontId="9" fillId="11" borderId="1" xfId="1" applyNumberFormat="1" applyFill="1" applyBorder="1"/>
    <xf numFmtId="2" fontId="10" fillId="0" borderId="1" xfId="1" applyNumberFormat="1" applyFont="1" applyBorder="1" applyAlignment="1">
      <alignment horizontal="center"/>
    </xf>
    <xf numFmtId="0" fontId="10" fillId="0" borderId="1" xfId="1" applyFont="1" applyBorder="1" applyAlignment="1">
      <alignment horizontal="center"/>
    </xf>
    <xf numFmtId="177" fontId="9" fillId="7" borderId="1" xfId="1" applyNumberFormat="1" applyFill="1" applyBorder="1"/>
    <xf numFmtId="2" fontId="9" fillId="0" borderId="1" xfId="1" applyNumberFormat="1" applyBorder="1"/>
    <xf numFmtId="0" fontId="9" fillId="0" borderId="1" xfId="1" applyBorder="1" applyAlignment="1">
      <alignment vertical="center" wrapText="1"/>
    </xf>
    <xf numFmtId="0" fontId="10" fillId="7" borderId="1" xfId="1" applyFont="1" applyFill="1" applyBorder="1"/>
  </cellXfs>
  <cellStyles count="2">
    <cellStyle name="Normal" xfId="0" builtinId="0"/>
    <cellStyle name="Normal 2" xfId="1"/>
  </cellStyles>
  <dxfs count="2"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23.png"/><Relationship Id="rId3" Type="http://schemas.openxmlformats.org/officeDocument/2006/relationships/image" Target="../media/image18.png"/><Relationship Id="rId7" Type="http://schemas.openxmlformats.org/officeDocument/2006/relationships/image" Target="../media/image22.png"/><Relationship Id="rId2" Type="http://schemas.openxmlformats.org/officeDocument/2006/relationships/image" Target="../media/image17.png"/><Relationship Id="rId1" Type="http://schemas.openxmlformats.org/officeDocument/2006/relationships/image" Target="../media/image16.png"/><Relationship Id="rId6" Type="http://schemas.openxmlformats.org/officeDocument/2006/relationships/image" Target="../media/image21.png"/><Relationship Id="rId11" Type="http://schemas.openxmlformats.org/officeDocument/2006/relationships/image" Target="../media/image26.png"/><Relationship Id="rId5" Type="http://schemas.openxmlformats.org/officeDocument/2006/relationships/image" Target="../media/image20.png"/><Relationship Id="rId10" Type="http://schemas.openxmlformats.org/officeDocument/2006/relationships/image" Target="../media/image25.png"/><Relationship Id="rId4" Type="http://schemas.openxmlformats.org/officeDocument/2006/relationships/image" Target="../media/image19.png"/><Relationship Id="rId9" Type="http://schemas.openxmlformats.org/officeDocument/2006/relationships/image" Target="../media/image2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9.png"/><Relationship Id="rId2" Type="http://schemas.openxmlformats.org/officeDocument/2006/relationships/image" Target="../media/image28.png"/><Relationship Id="rId1" Type="http://schemas.openxmlformats.org/officeDocument/2006/relationships/image" Target="../media/image2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161925</xdr:colOff>
      <xdr:row>21</xdr:row>
      <xdr:rowOff>38100</xdr:rowOff>
    </xdr:from>
    <xdr:to>
      <xdr:col>4</xdr:col>
      <xdr:colOff>342900</xdr:colOff>
      <xdr:row>21</xdr:row>
      <xdr:rowOff>514350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8365" y="8686800"/>
          <a:ext cx="2512695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276225</xdr:colOff>
      <xdr:row>23</xdr:row>
      <xdr:rowOff>19051</xdr:rowOff>
    </xdr:from>
    <xdr:to>
      <xdr:col>4</xdr:col>
      <xdr:colOff>276225</xdr:colOff>
      <xdr:row>24</xdr:row>
      <xdr:rowOff>51175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2665" y="9704071"/>
          <a:ext cx="2331720" cy="4664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38100</xdr:colOff>
      <xdr:row>26</xdr:row>
      <xdr:rowOff>171451</xdr:rowOff>
    </xdr:from>
    <xdr:to>
      <xdr:col>4</xdr:col>
      <xdr:colOff>428625</xdr:colOff>
      <xdr:row>47</xdr:row>
      <xdr:rowOff>42630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1540" y="10755631"/>
          <a:ext cx="3865245" cy="35516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876300</xdr:colOff>
      <xdr:row>26</xdr:row>
      <xdr:rowOff>142875</xdr:rowOff>
    </xdr:from>
    <xdr:to>
      <xdr:col>6</xdr:col>
      <xdr:colOff>1066800</xdr:colOff>
      <xdr:row>47</xdr:row>
      <xdr:rowOff>149773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4460" y="10727055"/>
          <a:ext cx="2400300" cy="36873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504825</xdr:colOff>
      <xdr:row>19</xdr:row>
      <xdr:rowOff>0</xdr:rowOff>
    </xdr:from>
    <xdr:to>
      <xdr:col>15</xdr:col>
      <xdr:colOff>866</xdr:colOff>
      <xdr:row>56</xdr:row>
      <xdr:rowOff>13335</xdr:rowOff>
    </xdr:to>
    <xdr:pic>
      <xdr:nvPicPr>
        <xdr:cNvPr id="6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34725" y="8298180"/>
          <a:ext cx="3813810" cy="822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86675</xdr:colOff>
      <xdr:row>15</xdr:row>
      <xdr:rowOff>0</xdr:rowOff>
    </xdr:from>
    <xdr:to>
      <xdr:col>15</xdr:col>
      <xdr:colOff>447674</xdr:colOff>
      <xdr:row>16</xdr:row>
      <xdr:rowOff>19050</xdr:rowOff>
    </xdr:to>
    <xdr:pic>
      <xdr:nvPicPr>
        <xdr:cNvPr id="7" name="Imagen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53095" y="5989320"/>
          <a:ext cx="2067879" cy="6515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400049</xdr:colOff>
      <xdr:row>21</xdr:row>
      <xdr:rowOff>76201</xdr:rowOff>
    </xdr:from>
    <xdr:to>
      <xdr:col>7</xdr:col>
      <xdr:colOff>628649</xdr:colOff>
      <xdr:row>23</xdr:row>
      <xdr:rowOff>202801</xdr:rowOff>
    </xdr:to>
    <xdr:pic>
      <xdr:nvPicPr>
        <xdr:cNvPr id="8" name="Imagen 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8209" y="8724901"/>
          <a:ext cx="3535680" cy="11629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123825</xdr:colOff>
      <xdr:row>16</xdr:row>
      <xdr:rowOff>152400</xdr:rowOff>
    </xdr:from>
    <xdr:to>
      <xdr:col>14</xdr:col>
      <xdr:colOff>438150</xdr:colOff>
      <xdr:row>17</xdr:row>
      <xdr:rowOff>142875</xdr:rowOff>
    </xdr:to>
    <xdr:pic>
      <xdr:nvPicPr>
        <xdr:cNvPr id="9" name="Imagen 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90245" y="6774180"/>
          <a:ext cx="1167765" cy="6229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17</xdr:col>
      <xdr:colOff>28575</xdr:colOff>
      <xdr:row>15</xdr:row>
      <xdr:rowOff>28575</xdr:rowOff>
    </xdr:from>
    <xdr:to>
      <xdr:col>19</xdr:col>
      <xdr:colOff>2770</xdr:colOff>
      <xdr:row>15</xdr:row>
      <xdr:rowOff>534626</xdr:rowOff>
    </xdr:to>
    <xdr:pic>
      <xdr:nvPicPr>
        <xdr:cNvPr id="10" name="Imagen 9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08755" y="6017895"/>
          <a:ext cx="1624964" cy="506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409574</xdr:colOff>
      <xdr:row>16</xdr:row>
      <xdr:rowOff>38100</xdr:rowOff>
    </xdr:from>
    <xdr:to>
      <xdr:col>19</xdr:col>
      <xdr:colOff>2770</xdr:colOff>
      <xdr:row>17</xdr:row>
      <xdr:rowOff>51875</xdr:rowOff>
    </xdr:to>
    <xdr:pic>
      <xdr:nvPicPr>
        <xdr:cNvPr id="11" name="Imagen 10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36314" y="6659880"/>
          <a:ext cx="2135505" cy="6462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771525</xdr:colOff>
      <xdr:row>87</xdr:row>
      <xdr:rowOff>19050</xdr:rowOff>
    </xdr:from>
    <xdr:to>
      <xdr:col>7</xdr:col>
      <xdr:colOff>228600</xdr:colOff>
      <xdr:row>89</xdr:row>
      <xdr:rowOff>57371</xdr:rowOff>
    </xdr:to>
    <xdr:pic>
      <xdr:nvPicPr>
        <xdr:cNvPr id="12" name="Imagen 11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04585" y="28456890"/>
          <a:ext cx="1659255" cy="8384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352424</xdr:colOff>
      <xdr:row>57</xdr:row>
      <xdr:rowOff>152401</xdr:rowOff>
    </xdr:from>
    <xdr:to>
      <xdr:col>18</xdr:col>
      <xdr:colOff>781049</xdr:colOff>
      <xdr:row>68</xdr:row>
      <xdr:rowOff>442628</xdr:rowOff>
    </xdr:to>
    <xdr:pic>
      <xdr:nvPicPr>
        <xdr:cNvPr id="13" name="Imagen 12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35764" y="17183101"/>
          <a:ext cx="6478905" cy="41840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352424</xdr:colOff>
      <xdr:row>70</xdr:row>
      <xdr:rowOff>104776</xdr:rowOff>
    </xdr:from>
    <xdr:to>
      <xdr:col>3</xdr:col>
      <xdr:colOff>3809</xdr:colOff>
      <xdr:row>73</xdr:row>
      <xdr:rowOff>142324</xdr:rowOff>
    </xdr:to>
    <xdr:pic>
      <xdr:nvPicPr>
        <xdr:cNvPr id="14" name="Imagen 13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4" y="21684616"/>
          <a:ext cx="2767965" cy="7538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295275</xdr:colOff>
      <xdr:row>76</xdr:row>
      <xdr:rowOff>152400</xdr:rowOff>
    </xdr:from>
    <xdr:to>
      <xdr:col>2</xdr:col>
      <xdr:colOff>800100</xdr:colOff>
      <xdr:row>76</xdr:row>
      <xdr:rowOff>457200</xdr:rowOff>
    </xdr:to>
    <xdr:pic>
      <xdr:nvPicPr>
        <xdr:cNvPr id="15" name="Imagen 14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8715" y="23667720"/>
          <a:ext cx="1647825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333375</xdr:colOff>
      <xdr:row>77</xdr:row>
      <xdr:rowOff>19050</xdr:rowOff>
    </xdr:from>
    <xdr:to>
      <xdr:col>9</xdr:col>
      <xdr:colOff>466725</xdr:colOff>
      <xdr:row>78</xdr:row>
      <xdr:rowOff>114299</xdr:rowOff>
    </xdr:to>
    <xdr:pic>
      <xdr:nvPicPr>
        <xdr:cNvPr id="16" name="Imagen 15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8615" y="24060150"/>
          <a:ext cx="2274570" cy="819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285749</xdr:colOff>
      <xdr:row>16</xdr:row>
      <xdr:rowOff>114300</xdr:rowOff>
    </xdr:from>
    <xdr:to>
      <xdr:col>18</xdr:col>
      <xdr:colOff>180974</xdr:colOff>
      <xdr:row>34</xdr:row>
      <xdr:rowOff>55252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23369" y="6111240"/>
          <a:ext cx="7576185" cy="30956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152400</xdr:colOff>
      <xdr:row>14</xdr:row>
      <xdr:rowOff>142876</xdr:rowOff>
    </xdr:from>
    <xdr:to>
      <xdr:col>5</xdr:col>
      <xdr:colOff>685800</xdr:colOff>
      <xdr:row>21</xdr:row>
      <xdr:rowOff>139855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5789296"/>
          <a:ext cx="5379720" cy="12237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142875</xdr:colOff>
      <xdr:row>23</xdr:row>
      <xdr:rowOff>57150</xdr:rowOff>
    </xdr:from>
    <xdr:to>
      <xdr:col>6</xdr:col>
      <xdr:colOff>1905000</xdr:colOff>
      <xdr:row>33</xdr:row>
      <xdr:rowOff>160031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7280910"/>
          <a:ext cx="9397365" cy="18554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152400</xdr:colOff>
      <xdr:row>3</xdr:row>
      <xdr:rowOff>180975</xdr:rowOff>
    </xdr:from>
    <xdr:to>
      <xdr:col>10</xdr:col>
      <xdr:colOff>523874</xdr:colOff>
      <xdr:row>3</xdr:row>
      <xdr:rowOff>538674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0020" y="958215"/>
          <a:ext cx="1224914" cy="3576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28575</xdr:colOff>
      <xdr:row>4</xdr:row>
      <xdr:rowOff>9526</xdr:rowOff>
    </xdr:from>
    <xdr:to>
      <xdr:col>10</xdr:col>
      <xdr:colOff>333374</xdr:colOff>
      <xdr:row>5</xdr:row>
      <xdr:rowOff>64243</xdr:rowOff>
    </xdr:to>
    <xdr:pic>
      <xdr:nvPicPr>
        <xdr:cNvPr id="6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66195" y="1381126"/>
          <a:ext cx="1158239" cy="5804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207487</xdr:colOff>
      <xdr:row>7</xdr:row>
      <xdr:rowOff>85725</xdr:rowOff>
    </xdr:from>
    <xdr:to>
      <xdr:col>10</xdr:col>
      <xdr:colOff>66674</xdr:colOff>
      <xdr:row>7</xdr:row>
      <xdr:rowOff>590550</xdr:rowOff>
    </xdr:to>
    <xdr:pic>
      <xdr:nvPicPr>
        <xdr:cNvPr id="7" name="Imagen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45107" y="2927985"/>
          <a:ext cx="712627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121920</xdr:colOff>
      <xdr:row>5</xdr:row>
      <xdr:rowOff>152400</xdr:rowOff>
    </xdr:from>
    <xdr:to>
      <xdr:col>10</xdr:col>
      <xdr:colOff>323850</xdr:colOff>
      <xdr:row>5</xdr:row>
      <xdr:rowOff>521970</xdr:rowOff>
    </xdr:to>
    <xdr:pic>
      <xdr:nvPicPr>
        <xdr:cNvPr id="8" name="Imagen 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59540" y="2049780"/>
          <a:ext cx="1055370" cy="3695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28575</xdr:colOff>
      <xdr:row>5</xdr:row>
      <xdr:rowOff>447675</xdr:rowOff>
    </xdr:from>
    <xdr:to>
      <xdr:col>10</xdr:col>
      <xdr:colOff>504825</xdr:colOff>
      <xdr:row>7</xdr:row>
      <xdr:rowOff>57150</xdr:rowOff>
    </xdr:to>
    <xdr:pic>
      <xdr:nvPicPr>
        <xdr:cNvPr id="9" name="Imagen 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66195" y="2345055"/>
          <a:ext cx="1329690" cy="5543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114299</xdr:colOff>
      <xdr:row>8</xdr:row>
      <xdr:rowOff>114300</xdr:rowOff>
    </xdr:from>
    <xdr:to>
      <xdr:col>11</xdr:col>
      <xdr:colOff>9524</xdr:colOff>
      <xdr:row>8</xdr:row>
      <xdr:rowOff>403582</xdr:rowOff>
    </xdr:to>
    <xdr:pic>
      <xdr:nvPicPr>
        <xdr:cNvPr id="10" name="Imagen 9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51919" y="3642360"/>
          <a:ext cx="1602105" cy="2892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38100</xdr:colOff>
      <xdr:row>9</xdr:row>
      <xdr:rowOff>9525</xdr:rowOff>
    </xdr:from>
    <xdr:to>
      <xdr:col>10</xdr:col>
      <xdr:colOff>676275</xdr:colOff>
      <xdr:row>9</xdr:row>
      <xdr:rowOff>333375</xdr:rowOff>
    </xdr:to>
    <xdr:pic>
      <xdr:nvPicPr>
        <xdr:cNvPr id="11" name="Imagen 10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75720" y="3994785"/>
          <a:ext cx="1491615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152400</xdr:colOff>
      <xdr:row>10</xdr:row>
      <xdr:rowOff>66675</xdr:rowOff>
    </xdr:from>
    <xdr:to>
      <xdr:col>11</xdr:col>
      <xdr:colOff>9525</xdr:colOff>
      <xdr:row>10</xdr:row>
      <xdr:rowOff>361950</xdr:rowOff>
    </xdr:to>
    <xdr:pic>
      <xdr:nvPicPr>
        <xdr:cNvPr id="12" name="Imagen 11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0020" y="4417695"/>
          <a:ext cx="1564005" cy="295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2084295</xdr:colOff>
      <xdr:row>34</xdr:row>
      <xdr:rowOff>44823</xdr:rowOff>
    </xdr:from>
    <xdr:to>
      <xdr:col>4</xdr:col>
      <xdr:colOff>16248</xdr:colOff>
      <xdr:row>36</xdr:row>
      <xdr:rowOff>170160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1175" y="6003663"/>
          <a:ext cx="1680993" cy="4758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11206</xdr:colOff>
      <xdr:row>34</xdr:row>
      <xdr:rowOff>95250</xdr:rowOff>
    </xdr:from>
    <xdr:to>
      <xdr:col>5</xdr:col>
      <xdr:colOff>233509</xdr:colOff>
      <xdr:row>36</xdr:row>
      <xdr:rowOff>160429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7126" y="6054090"/>
          <a:ext cx="1852983" cy="4156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173691</xdr:colOff>
      <xdr:row>34</xdr:row>
      <xdr:rowOff>56030</xdr:rowOff>
    </xdr:from>
    <xdr:to>
      <xdr:col>7</xdr:col>
      <xdr:colOff>487456</xdr:colOff>
      <xdr:row>36</xdr:row>
      <xdr:rowOff>161388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0291" y="6014870"/>
          <a:ext cx="2119705" cy="4558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3:AD88"/>
  <sheetViews>
    <sheetView tabSelected="1" zoomScale="110" zoomScaleNormal="110" workbookViewId="0">
      <selection activeCell="E67" sqref="E67"/>
    </sheetView>
  </sheetViews>
  <sheetFormatPr baseColWidth="10" defaultRowHeight="13.8" x14ac:dyDescent="0.25"/>
  <cols>
    <col min="1" max="1" width="11.5546875" style="35"/>
    <col min="2" max="2" width="16.6640625" style="35" customWidth="1"/>
    <col min="3" max="3" width="16.33203125" style="35" customWidth="1"/>
    <col min="4" max="4" width="17.6640625" style="35" customWidth="1"/>
    <col min="5" max="6" width="16.109375" style="35" customWidth="1"/>
    <col min="7" max="7" width="16" style="35" customWidth="1"/>
    <col min="8" max="8" width="18.5546875" style="35" customWidth="1"/>
    <col min="9" max="9" width="12.6640625" style="35" bestFit="1" customWidth="1"/>
    <col min="10" max="12" width="11.5546875" style="35"/>
    <col min="13" max="13" width="13.5546875" style="35" bestFit="1" customWidth="1"/>
    <col min="14" max="16384" width="11.5546875" style="35"/>
  </cols>
  <sheetData>
    <row r="3" spans="2:30" x14ac:dyDescent="0.25">
      <c r="D3" s="36" t="s">
        <v>41</v>
      </c>
      <c r="E3" s="36"/>
      <c r="F3" s="36"/>
      <c r="G3" s="36"/>
      <c r="H3" s="36"/>
    </row>
    <row r="6" spans="2:30" ht="47.25" customHeight="1" x14ac:dyDescent="0.25">
      <c r="C6" s="37" t="s">
        <v>42</v>
      </c>
      <c r="D6" s="38">
        <v>0.05</v>
      </c>
      <c r="E6" s="39"/>
      <c r="F6" s="39"/>
      <c r="G6" s="40"/>
      <c r="H6" s="41"/>
      <c r="I6" s="42"/>
    </row>
    <row r="7" spans="2:30" ht="47.25" customHeight="1" x14ac:dyDescent="0.25">
      <c r="C7" s="43" t="s">
        <v>43</v>
      </c>
      <c r="D7" s="38">
        <v>2.65</v>
      </c>
      <c r="E7" s="39"/>
      <c r="F7" s="39"/>
      <c r="G7" s="40"/>
      <c r="H7" s="41"/>
      <c r="I7" s="42"/>
    </row>
    <row r="8" spans="2:30" ht="29.25" customHeight="1" x14ac:dyDescent="0.25">
      <c r="C8" s="44" t="s">
        <v>44</v>
      </c>
      <c r="D8" s="44">
        <v>20</v>
      </c>
      <c r="F8" s="45"/>
      <c r="G8" s="42"/>
      <c r="H8" s="42"/>
      <c r="I8" s="42"/>
    </row>
    <row r="10" spans="2:30" x14ac:dyDescent="0.25">
      <c r="D10" s="36" t="s">
        <v>45</v>
      </c>
      <c r="E10" s="36"/>
      <c r="F10" s="36"/>
    </row>
    <row r="11" spans="2:30" ht="44.25" customHeight="1" x14ac:dyDescent="0.3">
      <c r="B11" s="46" t="s">
        <v>46</v>
      </c>
      <c r="L11" s="46" t="s">
        <v>47</v>
      </c>
      <c r="T11" s="36" t="s">
        <v>48</v>
      </c>
    </row>
    <row r="12" spans="2:30" ht="28.5" customHeight="1" x14ac:dyDescent="0.25">
      <c r="B12" s="47" t="s">
        <v>49</v>
      </c>
      <c r="C12" s="47"/>
      <c r="D12" s="47" t="s">
        <v>50</v>
      </c>
      <c r="E12" s="47"/>
      <c r="F12" s="48" t="s">
        <v>51</v>
      </c>
      <c r="G12" s="48"/>
      <c r="H12" s="48" t="s">
        <v>52</v>
      </c>
      <c r="I12" s="48"/>
      <c r="L12" s="36" t="s">
        <v>53</v>
      </c>
      <c r="R12" s="49"/>
      <c r="T12" s="50" t="s">
        <v>54</v>
      </c>
      <c r="U12" s="44">
        <v>1</v>
      </c>
      <c r="V12" s="44">
        <v>2</v>
      </c>
      <c r="W12" s="44">
        <v>3</v>
      </c>
      <c r="X12" s="51">
        <v>4</v>
      </c>
      <c r="Y12" s="52">
        <v>5</v>
      </c>
      <c r="Z12" s="52">
        <v>6</v>
      </c>
      <c r="AA12" s="52">
        <v>7</v>
      </c>
      <c r="AB12" s="52">
        <v>8</v>
      </c>
      <c r="AC12" s="52">
        <v>9</v>
      </c>
      <c r="AD12" s="52">
        <v>10</v>
      </c>
    </row>
    <row r="13" spans="2:30" ht="68.25" customHeight="1" x14ac:dyDescent="0.25">
      <c r="B13" s="44" t="s">
        <v>55</v>
      </c>
      <c r="C13" s="38">
        <v>6.9199999999999999E-3</v>
      </c>
      <c r="D13" s="44" t="s">
        <v>56</v>
      </c>
      <c r="E13" s="38">
        <v>0.02</v>
      </c>
      <c r="F13" s="44" t="s">
        <v>57</v>
      </c>
      <c r="G13" s="38">
        <v>1.28</v>
      </c>
      <c r="H13" s="53" t="s">
        <v>58</v>
      </c>
      <c r="I13" s="44">
        <f>D6</f>
        <v>0.05</v>
      </c>
      <c r="L13" s="54" t="s">
        <v>59</v>
      </c>
      <c r="M13" s="38">
        <v>1.0104999999999999E-2</v>
      </c>
      <c r="R13" s="49"/>
      <c r="T13" s="53" t="s">
        <v>60</v>
      </c>
      <c r="U13" s="44">
        <f>D7</f>
        <v>2.65</v>
      </c>
      <c r="V13" s="44">
        <f>U13</f>
        <v>2.65</v>
      </c>
      <c r="W13" s="44">
        <f>U13</f>
        <v>2.65</v>
      </c>
      <c r="X13" s="44">
        <f t="shared" ref="X13:AC14" si="0">W13</f>
        <v>2.65</v>
      </c>
      <c r="Y13" s="55">
        <f t="shared" si="0"/>
        <v>2.65</v>
      </c>
      <c r="Z13" s="55">
        <f t="shared" si="0"/>
        <v>2.65</v>
      </c>
      <c r="AA13" s="56">
        <f t="shared" si="0"/>
        <v>2.65</v>
      </c>
      <c r="AB13" s="56">
        <f t="shared" si="0"/>
        <v>2.65</v>
      </c>
      <c r="AC13" s="56">
        <f t="shared" si="0"/>
        <v>2.65</v>
      </c>
      <c r="AD13" s="56">
        <f>AB13</f>
        <v>2.65</v>
      </c>
    </row>
    <row r="14" spans="2:30" ht="61.8" x14ac:dyDescent="0.25">
      <c r="D14" s="44" t="s">
        <v>61</v>
      </c>
      <c r="E14" s="38">
        <v>0.02</v>
      </c>
      <c r="F14" s="53" t="s">
        <v>60</v>
      </c>
      <c r="G14" s="38">
        <f>D7</f>
        <v>2.65</v>
      </c>
      <c r="H14" s="44" t="s">
        <v>55</v>
      </c>
      <c r="I14" s="57">
        <f>((3.8)*((I13/1000)^0.5))+(8.3*I13/1000)</f>
        <v>2.7285057685088803E-2</v>
      </c>
      <c r="L14" s="53" t="s">
        <v>60</v>
      </c>
      <c r="M14" s="44">
        <f>D7</f>
        <v>2.65</v>
      </c>
      <c r="R14" s="49"/>
      <c r="T14" s="53" t="s">
        <v>58</v>
      </c>
      <c r="U14" s="44">
        <f>D6</f>
        <v>0.05</v>
      </c>
      <c r="V14" s="44">
        <f>U14</f>
        <v>0.05</v>
      </c>
      <c r="W14" s="44">
        <f>U14</f>
        <v>0.05</v>
      </c>
      <c r="X14" s="44">
        <f t="shared" si="0"/>
        <v>0.05</v>
      </c>
      <c r="Y14" s="55">
        <f t="shared" si="0"/>
        <v>0.05</v>
      </c>
      <c r="Z14" s="55">
        <f t="shared" si="0"/>
        <v>0.05</v>
      </c>
      <c r="AA14" s="56">
        <f t="shared" si="0"/>
        <v>0.05</v>
      </c>
      <c r="AB14" s="56">
        <f t="shared" si="0"/>
        <v>0.05</v>
      </c>
      <c r="AC14" s="56">
        <f t="shared" si="0"/>
        <v>0.05</v>
      </c>
      <c r="AD14" s="56">
        <f>AC14</f>
        <v>0.05</v>
      </c>
    </row>
    <row r="15" spans="2:30" ht="51" customHeight="1" x14ac:dyDescent="0.25">
      <c r="F15" s="53" t="s">
        <v>58</v>
      </c>
      <c r="G15" s="44">
        <f>D6</f>
        <v>0.05</v>
      </c>
      <c r="L15" s="53" t="s">
        <v>58</v>
      </c>
      <c r="M15" s="44">
        <f>D6</f>
        <v>0.05</v>
      </c>
      <c r="R15" s="49"/>
      <c r="T15" s="44" t="s">
        <v>62</v>
      </c>
      <c r="U15" s="44">
        <f>M17</f>
        <v>0.11004479152308316</v>
      </c>
      <c r="V15" s="44">
        <f>((U17*100)*(V14/10))/M13</f>
        <v>0.10775119309479111</v>
      </c>
      <c r="W15" s="44">
        <f>((V17*100)*(W14/10))/M13</f>
        <v>0.10664625524519701</v>
      </c>
      <c r="X15" s="44">
        <f>((W17*100)*(X14/10))/M13</f>
        <v>0.10610957348119181</v>
      </c>
      <c r="Y15" s="44">
        <f>((X17*100)*(Y14/10))/M13</f>
        <v>0.10584785419503059</v>
      </c>
      <c r="Z15" s="55">
        <f>((Y17*100)*(Z14/10))/M13</f>
        <v>0.10571997324503304</v>
      </c>
      <c r="AA15" s="55">
        <f>((Z17*100)*(AA14/10))/M13</f>
        <v>0.10565742824858217</v>
      </c>
      <c r="AB15" s="55">
        <f>((AA17*100)*(AB14/10))/M13</f>
        <v>0.10562682389585995</v>
      </c>
      <c r="AC15" s="55">
        <f>((AB17*100)*(AC14/10))/M13</f>
        <v>0.10561184521254495</v>
      </c>
      <c r="AD15" s="55">
        <f>((AC17*100)*(AD14/10))/M13</f>
        <v>0.1056045133732032</v>
      </c>
    </row>
    <row r="16" spans="2:30" ht="50.25" customHeight="1" x14ac:dyDescent="0.25">
      <c r="F16" s="44" t="s">
        <v>55</v>
      </c>
      <c r="G16" s="58">
        <f>G13*((G15/1000)*(G14-1))^0.5</f>
        <v>1.1626177359734369E-2</v>
      </c>
      <c r="L16" s="59" t="s">
        <v>63</v>
      </c>
      <c r="M16" s="60">
        <f>((1/18)*(980.665)*((M14-1)/(M13))*((M15/10)^2))/100</f>
        <v>2.2240052366815106E-3</v>
      </c>
      <c r="R16" s="49"/>
      <c r="T16" s="53" t="s">
        <v>64</v>
      </c>
      <c r="U16" s="44">
        <f t="shared" ref="U16:AD16" si="1">(24/U15)+(3/(SQRT(U15)))+0.34</f>
        <v>227.47651094091898</v>
      </c>
      <c r="V16" s="44">
        <f t="shared" si="1"/>
        <v>232.21459542797885</v>
      </c>
      <c r="W16" s="44">
        <f t="shared" si="1"/>
        <v>234.56952910776508</v>
      </c>
      <c r="X16" s="44">
        <f t="shared" si="1"/>
        <v>235.73095591791318</v>
      </c>
      <c r="Y16" s="44">
        <f t="shared" si="1"/>
        <v>236.30159039602492</v>
      </c>
      <c r="Z16" s="55">
        <f t="shared" si="1"/>
        <v>236.58143549183325</v>
      </c>
      <c r="AA16" s="55">
        <f t="shared" si="1"/>
        <v>236.71854972765672</v>
      </c>
      <c r="AB16" s="55">
        <f t="shared" si="1"/>
        <v>236.78570097618405</v>
      </c>
      <c r="AC16" s="55">
        <f t="shared" si="1"/>
        <v>236.81858091527079</v>
      </c>
      <c r="AD16" s="55">
        <f t="shared" si="1"/>
        <v>236.83467853227094</v>
      </c>
    </row>
    <row r="17" spans="2:30" ht="50.25" customHeight="1" x14ac:dyDescent="0.25">
      <c r="L17" s="59" t="s">
        <v>62</v>
      </c>
      <c r="M17" s="61">
        <f>((M16*100)*(M15/10))/M13</f>
        <v>0.11004479152308316</v>
      </c>
      <c r="R17" s="49"/>
      <c r="T17" s="44" t="s">
        <v>63</v>
      </c>
      <c r="U17" s="56">
        <f t="shared" ref="U17:AD17" si="2">(SQRT((4/3)*((980.665/U16)*(U13-1))*(U14/10)))/100</f>
        <v>2.1776516124457283E-3</v>
      </c>
      <c r="V17" s="56">
        <f t="shared" si="2"/>
        <v>2.1553208185054315E-3</v>
      </c>
      <c r="W17" s="56">
        <f t="shared" si="2"/>
        <v>2.1444744800548864E-3</v>
      </c>
      <c r="X17" s="56">
        <f t="shared" si="2"/>
        <v>2.1391851332815681E-3</v>
      </c>
      <c r="Y17" s="56">
        <f t="shared" si="2"/>
        <v>2.1366006592821178E-3</v>
      </c>
      <c r="Z17" s="56">
        <f t="shared" si="2"/>
        <v>2.1353366249038455E-3</v>
      </c>
      <c r="AA17" s="56">
        <f t="shared" si="2"/>
        <v>2.1347181109353294E-3</v>
      </c>
      <c r="AB17" s="56">
        <f t="shared" si="2"/>
        <v>2.1344153917455333E-3</v>
      </c>
      <c r="AC17" s="56">
        <f t="shared" si="2"/>
        <v>2.1342672152724366E-3</v>
      </c>
      <c r="AD17" s="56">
        <f t="shared" si="2"/>
        <v>2.1341946811312294E-3</v>
      </c>
    </row>
    <row r="18" spans="2:30" ht="45" customHeight="1" x14ac:dyDescent="0.25">
      <c r="B18" s="43" t="s">
        <v>65</v>
      </c>
      <c r="C18" s="62">
        <f>(C13+E13+E14+G16+I14)/5</f>
        <v>1.7166247008964637E-2</v>
      </c>
      <c r="D18" s="62"/>
      <c r="E18" s="62"/>
      <c r="F18" s="62"/>
      <c r="G18" s="62"/>
      <c r="H18" s="62"/>
      <c r="I18" s="62"/>
      <c r="R18" s="49"/>
      <c r="Y18" s="63"/>
    </row>
    <row r="19" spans="2:30" ht="37.5" customHeight="1" x14ac:dyDescent="0.25">
      <c r="K19" s="64" t="s">
        <v>66</v>
      </c>
      <c r="L19" s="64"/>
      <c r="M19" s="64"/>
      <c r="N19" s="64"/>
      <c r="O19" s="64"/>
      <c r="P19" s="64"/>
      <c r="Q19" s="65"/>
      <c r="R19" s="66"/>
    </row>
    <row r="22" spans="2:30" ht="41.25" customHeight="1" x14ac:dyDescent="0.25">
      <c r="B22" s="67" t="s">
        <v>51</v>
      </c>
      <c r="T22" s="68"/>
      <c r="U22" s="68"/>
      <c r="V22" s="68"/>
      <c r="W22" s="68"/>
      <c r="X22" s="68"/>
      <c r="Y22" s="68"/>
    </row>
    <row r="23" spans="2:30" ht="41.25" customHeight="1" x14ac:dyDescent="0.25">
      <c r="B23" s="67"/>
    </row>
    <row r="24" spans="2:30" ht="34.5" customHeight="1" x14ac:dyDescent="0.25">
      <c r="B24" s="67" t="s">
        <v>52</v>
      </c>
    </row>
    <row r="26" spans="2:30" ht="23.25" customHeight="1" x14ac:dyDescent="0.25">
      <c r="B26" s="36" t="s">
        <v>50</v>
      </c>
      <c r="F26" s="36" t="s">
        <v>67</v>
      </c>
    </row>
    <row r="51" spans="2:7" ht="35.25" customHeight="1" x14ac:dyDescent="0.25">
      <c r="B51" s="50" t="s">
        <v>68</v>
      </c>
      <c r="C51" s="69">
        <f>M16</f>
        <v>2.2240052366815106E-3</v>
      </c>
    </row>
    <row r="53" spans="2:7" ht="21.75" customHeight="1" x14ac:dyDescent="0.25">
      <c r="D53" s="36" t="s">
        <v>69</v>
      </c>
    </row>
    <row r="54" spans="2:7" ht="21.75" customHeight="1" x14ac:dyDescent="0.25">
      <c r="D54" s="36"/>
    </row>
    <row r="55" spans="2:7" ht="21.75" customHeight="1" x14ac:dyDescent="0.25">
      <c r="D55" s="36"/>
    </row>
    <row r="56" spans="2:7" ht="21.75" customHeight="1" x14ac:dyDescent="0.25">
      <c r="D56" s="36"/>
    </row>
    <row r="57" spans="2:7" ht="41.4" x14ac:dyDescent="0.25">
      <c r="D57" s="54" t="s">
        <v>70</v>
      </c>
      <c r="E57" s="70">
        <f>(E59*E58)/E61</f>
        <v>0.80935061227006</v>
      </c>
      <c r="F57" s="35" t="s">
        <v>71</v>
      </c>
    </row>
    <row r="58" spans="2:7" ht="27.6" x14ac:dyDescent="0.25">
      <c r="D58" s="54" t="s">
        <v>72</v>
      </c>
      <c r="E58" s="38">
        <v>3.6</v>
      </c>
    </row>
    <row r="59" spans="2:7" ht="20.25" customHeight="1" x14ac:dyDescent="0.25">
      <c r="D59" s="44" t="s">
        <v>73</v>
      </c>
      <c r="E59" s="71">
        <v>5.0000000000000001E-4</v>
      </c>
    </row>
    <row r="60" spans="2:7" ht="23.25" customHeight="1" x14ac:dyDescent="0.25">
      <c r="D60" s="44" t="s">
        <v>74</v>
      </c>
      <c r="E60" s="71">
        <v>0.75</v>
      </c>
      <c r="F60" s="35" t="s">
        <v>75</v>
      </c>
    </row>
    <row r="61" spans="2:7" ht="23.25" customHeight="1" x14ac:dyDescent="0.25">
      <c r="D61" s="44" t="s">
        <v>55</v>
      </c>
      <c r="E61" s="72">
        <f>C51</f>
        <v>2.2240052366815106E-3</v>
      </c>
    </row>
    <row r="62" spans="2:7" ht="31.95" customHeight="1" x14ac:dyDescent="0.25">
      <c r="D62" s="53" t="s">
        <v>76</v>
      </c>
      <c r="E62" s="58">
        <f>E64*E60</f>
        <v>0.33736468376295287</v>
      </c>
      <c r="F62" s="35" t="s">
        <v>77</v>
      </c>
    </row>
    <row r="63" spans="2:7" ht="27.6" x14ac:dyDescent="0.25">
      <c r="D63" s="53" t="s">
        <v>78</v>
      </c>
      <c r="E63" s="58">
        <f>E59/E62</f>
        <v>1.4820757004646099E-3</v>
      </c>
      <c r="F63" s="35" t="s">
        <v>79</v>
      </c>
    </row>
    <row r="64" spans="2:7" ht="27.6" x14ac:dyDescent="0.25">
      <c r="D64" s="53" t="s">
        <v>80</v>
      </c>
      <c r="E64" s="58">
        <f>E65/4</f>
        <v>0.44981957835060382</v>
      </c>
      <c r="F64" s="35" t="s">
        <v>81</v>
      </c>
      <c r="G64" s="35" t="s">
        <v>82</v>
      </c>
    </row>
    <row r="65" spans="2:13" ht="27.6" x14ac:dyDescent="0.25">
      <c r="D65" s="53" t="s">
        <v>83</v>
      </c>
      <c r="E65" s="57">
        <f>2*SQRT(E57)</f>
        <v>1.7992783134024153</v>
      </c>
      <c r="F65" s="35" t="s">
        <v>84</v>
      </c>
    </row>
    <row r="66" spans="2:13" ht="27.6" x14ac:dyDescent="0.25">
      <c r="D66" s="53" t="s">
        <v>85</v>
      </c>
      <c r="E66" s="58">
        <f>E68/E59</f>
        <v>1214.0259184050901</v>
      </c>
    </row>
    <row r="67" spans="2:13" ht="24.75" customHeight="1" x14ac:dyDescent="0.25">
      <c r="D67" s="53" t="s">
        <v>86</v>
      </c>
      <c r="E67" s="58">
        <f>E63/E61</f>
        <v>0.66639937533422777</v>
      </c>
      <c r="F67" s="35" t="s">
        <v>87</v>
      </c>
    </row>
    <row r="68" spans="2:13" ht="47.25" customHeight="1" x14ac:dyDescent="0.25">
      <c r="D68" s="53" t="s">
        <v>88</v>
      </c>
      <c r="E68" s="57">
        <f>E60*E64*E65</f>
        <v>0.60701295920254505</v>
      </c>
      <c r="F68" s="35" t="s">
        <v>89</v>
      </c>
    </row>
    <row r="69" spans="2:13" ht="38.25" customHeight="1" x14ac:dyDescent="0.25">
      <c r="D69" s="73" t="s">
        <v>90</v>
      </c>
      <c r="E69" s="57">
        <f>(E59/E57)*86400</f>
        <v>53.376125680356246</v>
      </c>
    </row>
    <row r="70" spans="2:13" x14ac:dyDescent="0.25"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</row>
    <row r="71" spans="2:13" x14ac:dyDescent="0.25">
      <c r="B71" s="74"/>
      <c r="C71" s="74"/>
      <c r="D71" s="75" t="s">
        <v>91</v>
      </c>
      <c r="E71" s="74"/>
      <c r="F71" s="74"/>
      <c r="G71" s="74"/>
      <c r="H71" s="74"/>
      <c r="I71" s="74"/>
      <c r="J71" s="74"/>
      <c r="K71" s="74"/>
      <c r="L71" s="74"/>
      <c r="M71" s="74"/>
    </row>
    <row r="72" spans="2:13" x14ac:dyDescent="0.25"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</row>
    <row r="73" spans="2:13" ht="29.25" customHeight="1" x14ac:dyDescent="0.25">
      <c r="B73" s="74"/>
      <c r="C73" s="74"/>
      <c r="D73" s="76" t="s">
        <v>92</v>
      </c>
      <c r="E73" s="76"/>
      <c r="F73" s="74" t="s">
        <v>93</v>
      </c>
      <c r="G73" s="74"/>
      <c r="H73" s="74"/>
      <c r="I73" s="74"/>
      <c r="J73" s="74"/>
      <c r="K73" s="74"/>
      <c r="L73" s="74"/>
      <c r="M73" s="74"/>
    </row>
    <row r="74" spans="2:13" x14ac:dyDescent="0.25">
      <c r="B74" s="74"/>
      <c r="C74" s="74"/>
      <c r="D74" s="77"/>
      <c r="E74" s="74"/>
      <c r="F74" s="74"/>
      <c r="G74" s="74"/>
      <c r="H74" s="74"/>
      <c r="I74" s="74"/>
      <c r="J74" s="74"/>
      <c r="K74" s="74"/>
      <c r="L74" s="74"/>
      <c r="M74" s="74"/>
    </row>
    <row r="75" spans="2:13" ht="34.5" customHeight="1" x14ac:dyDescent="0.25">
      <c r="B75" s="74"/>
      <c r="C75" s="74"/>
      <c r="D75" s="78" t="s">
        <v>94</v>
      </c>
      <c r="E75" s="79">
        <v>1E-3</v>
      </c>
      <c r="F75" s="78" t="s">
        <v>95</v>
      </c>
      <c r="G75" s="51">
        <v>0.04</v>
      </c>
      <c r="H75" s="74"/>
      <c r="I75" s="74"/>
      <c r="J75" s="74"/>
      <c r="K75" s="74"/>
      <c r="L75" s="74"/>
      <c r="M75" s="74"/>
    </row>
    <row r="76" spans="2:13" ht="48.6" x14ac:dyDescent="0.25">
      <c r="B76" s="74"/>
      <c r="C76" s="74"/>
      <c r="D76" s="78" t="s">
        <v>96</v>
      </c>
      <c r="E76" s="79">
        <f>(E64*E60)/(E64+(2*E60))</f>
        <v>0.17302353895140249</v>
      </c>
      <c r="F76" s="53" t="s">
        <v>60</v>
      </c>
      <c r="G76" s="44">
        <f>D7</f>
        <v>2.65</v>
      </c>
      <c r="H76" s="74"/>
      <c r="I76" s="74"/>
      <c r="J76" s="74"/>
      <c r="K76" s="74"/>
      <c r="L76" s="74"/>
      <c r="M76" s="74"/>
    </row>
    <row r="77" spans="2:13" ht="41.4" x14ac:dyDescent="0.25">
      <c r="B77" s="74"/>
      <c r="C77" s="74"/>
      <c r="D77" s="78" t="s">
        <v>97</v>
      </c>
      <c r="E77" s="80">
        <f>E78*4*E76/(E79/10000)</f>
        <v>1015.0776157872958</v>
      </c>
      <c r="F77" s="53" t="s">
        <v>58</v>
      </c>
      <c r="G77" s="44">
        <f>M15</f>
        <v>0.05</v>
      </c>
      <c r="H77" s="74"/>
      <c r="I77" s="74"/>
      <c r="J77" s="74"/>
      <c r="K77" s="74"/>
      <c r="L77" s="74"/>
      <c r="M77" s="74"/>
    </row>
    <row r="78" spans="2:13" ht="57" customHeight="1" x14ac:dyDescent="0.25">
      <c r="B78" s="74"/>
      <c r="C78" s="74"/>
      <c r="D78" s="81" t="s">
        <v>98</v>
      </c>
      <c r="E78" s="82">
        <f>E63</f>
        <v>1.4820757004646099E-3</v>
      </c>
      <c r="F78" s="78" t="s">
        <v>99</v>
      </c>
      <c r="G78" s="83">
        <f>(SQRT((8*G75/E80)*980.665*(G76-1)*(G77/10)))/100</f>
        <v>6.2638897117548345E-2</v>
      </c>
      <c r="H78" s="74"/>
      <c r="I78" s="74"/>
      <c r="J78" s="74"/>
      <c r="K78" s="74"/>
      <c r="L78" s="74"/>
      <c r="M78" s="74"/>
    </row>
    <row r="79" spans="2:13" ht="48.75" customHeight="1" x14ac:dyDescent="0.25">
      <c r="B79" s="74"/>
      <c r="C79" s="74"/>
      <c r="D79" s="81" t="s">
        <v>100</v>
      </c>
      <c r="E79" s="51">
        <f>M13</f>
        <v>1.0104999999999999E-2</v>
      </c>
      <c r="F79" s="84"/>
      <c r="G79" s="51"/>
      <c r="H79" s="85" t="s">
        <v>101</v>
      </c>
      <c r="I79" s="74"/>
      <c r="J79" s="74"/>
      <c r="K79" s="74"/>
      <c r="L79" s="74"/>
      <c r="M79" s="74"/>
    </row>
    <row r="80" spans="2:13" ht="66.75" customHeight="1" x14ac:dyDescent="0.25">
      <c r="B80" s="74"/>
      <c r="C80" s="74"/>
      <c r="D80" s="86" t="s">
        <v>92</v>
      </c>
      <c r="E80" s="87">
        <f>(0.25)/((LOG10(((E75/4*E76)/3.7)+(5.74/(E77^0.9))))^2)</f>
        <v>6.5983659393117136E-2</v>
      </c>
      <c r="F80" s="84"/>
      <c r="G80" s="51"/>
      <c r="H80" s="85"/>
      <c r="I80" s="74"/>
      <c r="J80" s="74"/>
      <c r="K80" s="74"/>
      <c r="L80" s="74"/>
      <c r="M80" s="74"/>
    </row>
    <row r="81" spans="2:13" ht="22.5" customHeight="1" x14ac:dyDescent="0.25"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</row>
    <row r="83" spans="2:13" x14ac:dyDescent="0.25">
      <c r="D83" s="36" t="s">
        <v>102</v>
      </c>
    </row>
    <row r="85" spans="2:13" ht="41.4" x14ac:dyDescent="0.25">
      <c r="D85" s="88" t="s">
        <v>103</v>
      </c>
      <c r="E85" s="89">
        <f>E64</f>
        <v>0.44981957835060382</v>
      </c>
    </row>
    <row r="86" spans="2:13" ht="41.4" x14ac:dyDescent="0.25">
      <c r="D86" s="88" t="s">
        <v>104</v>
      </c>
      <c r="E86" s="38">
        <v>0.3</v>
      </c>
    </row>
    <row r="87" spans="2:13" ht="27.6" x14ac:dyDescent="0.25">
      <c r="D87" s="88" t="s">
        <v>105</v>
      </c>
      <c r="E87" s="38">
        <v>14</v>
      </c>
    </row>
    <row r="88" spans="2:13" ht="49.5" customHeight="1" x14ac:dyDescent="0.25">
      <c r="D88" s="43" t="s">
        <v>106</v>
      </c>
      <c r="E88" s="90">
        <f>(E85-E86)/(2*(TAN(RADIANS(E87))))</f>
        <v>0.30044675415949074</v>
      </c>
    </row>
  </sheetData>
  <mergeCells count="8">
    <mergeCell ref="T22:Y22"/>
    <mergeCell ref="D73:E73"/>
    <mergeCell ref="B12:C12"/>
    <mergeCell ref="D12:E12"/>
    <mergeCell ref="F12:G12"/>
    <mergeCell ref="H12:I12"/>
    <mergeCell ref="C18:I18"/>
    <mergeCell ref="K19:P19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workbookViewId="0">
      <selection activeCell="G19" sqref="G19"/>
    </sheetView>
  </sheetViews>
  <sheetFormatPr baseColWidth="10" defaultRowHeight="13.8" x14ac:dyDescent="0.25"/>
  <cols>
    <col min="1" max="1" width="11.5546875" style="35"/>
    <col min="2" max="2" width="17.88671875" style="35" customWidth="1"/>
    <col min="3" max="3" width="15.44140625" style="35" customWidth="1"/>
    <col min="4" max="5" width="11.5546875" style="35"/>
    <col min="6" max="6" width="40.6640625" style="35" customWidth="1"/>
    <col min="7" max="7" width="30.5546875" style="35" customWidth="1"/>
    <col min="8" max="16384" width="11.5546875" style="35"/>
  </cols>
  <sheetData>
    <row r="2" spans="2:7" ht="33.75" customHeight="1" x14ac:dyDescent="0.25">
      <c r="C2" s="91" t="s">
        <v>107</v>
      </c>
      <c r="G2" s="92" t="s">
        <v>108</v>
      </c>
    </row>
    <row r="4" spans="2:7" ht="47.25" customHeight="1" x14ac:dyDescent="0.25">
      <c r="B4" s="43" t="s">
        <v>109</v>
      </c>
      <c r="C4" s="38">
        <v>0.5</v>
      </c>
      <c r="F4" s="43" t="s">
        <v>110</v>
      </c>
      <c r="G4" s="93">
        <f>C4*C5</f>
        <v>90</v>
      </c>
    </row>
    <row r="5" spans="2:7" ht="41.4" x14ac:dyDescent="0.25">
      <c r="B5" s="43" t="s">
        <v>111</v>
      </c>
      <c r="C5" s="38">
        <v>180</v>
      </c>
      <c r="F5" s="43" t="s">
        <v>112</v>
      </c>
      <c r="G5" s="94">
        <f>(C4*(0.001))/C6</f>
        <v>0.125</v>
      </c>
    </row>
    <row r="6" spans="2:7" ht="41.4" x14ac:dyDescent="0.25">
      <c r="B6" s="43" t="s">
        <v>113</v>
      </c>
      <c r="C6" s="38">
        <v>4.0000000000000001E-3</v>
      </c>
      <c r="F6" s="43" t="s">
        <v>114</v>
      </c>
      <c r="G6" s="90">
        <f>2*G7</f>
        <v>0.5</v>
      </c>
    </row>
    <row r="7" spans="2:7" ht="33" customHeight="1" x14ac:dyDescent="0.25">
      <c r="F7" s="43" t="s">
        <v>115</v>
      </c>
      <c r="G7" s="90">
        <f>SQRT(G5/2)</f>
        <v>0.25</v>
      </c>
    </row>
    <row r="8" spans="2:7" ht="54" customHeight="1" x14ac:dyDescent="0.25">
      <c r="F8" s="43" t="s">
        <v>116</v>
      </c>
      <c r="G8" s="94">
        <f>G4*0.001/G5</f>
        <v>0.72</v>
      </c>
    </row>
    <row r="9" spans="2:7" ht="36" customHeight="1" x14ac:dyDescent="0.25">
      <c r="F9" s="95" t="s">
        <v>117</v>
      </c>
      <c r="G9" s="94">
        <f>0.75*G6</f>
        <v>0.375</v>
      </c>
    </row>
    <row r="10" spans="2:7" ht="29.25" customHeight="1" x14ac:dyDescent="0.25">
      <c r="F10" s="95" t="s">
        <v>118</v>
      </c>
      <c r="G10" s="94">
        <f>0.9*G8</f>
        <v>0.64800000000000002</v>
      </c>
    </row>
    <row r="11" spans="2:7" ht="29.25" customHeight="1" x14ac:dyDescent="0.25">
      <c r="F11" s="95" t="s">
        <v>119</v>
      </c>
      <c r="G11" s="94">
        <f>0.1*G8</f>
        <v>7.1999999999999995E-2</v>
      </c>
    </row>
    <row r="12" spans="2:7" ht="45.75" customHeight="1" x14ac:dyDescent="0.25"/>
    <row r="14" spans="2:7" x14ac:dyDescent="0.25">
      <c r="C14" s="36" t="s">
        <v>120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4:F50"/>
  <sheetViews>
    <sheetView zoomScale="140" zoomScaleNormal="140" workbookViewId="0">
      <selection activeCell="C58" sqref="C58"/>
    </sheetView>
  </sheetViews>
  <sheetFormatPr baseColWidth="10" defaultRowHeight="13.8" x14ac:dyDescent="0.25"/>
  <cols>
    <col min="1" max="2" width="11.5546875" style="35"/>
    <col min="3" max="3" width="41.6640625" style="35" customWidth="1"/>
    <col min="4" max="4" width="13" style="35" customWidth="1"/>
    <col min="5" max="5" width="23.77734375" style="35" customWidth="1"/>
    <col min="6" max="6" width="13.88671875" style="35" bestFit="1" customWidth="1"/>
    <col min="7" max="16384" width="11.5546875" style="35"/>
  </cols>
  <sheetData>
    <row r="4" spans="3:4" x14ac:dyDescent="0.25">
      <c r="C4" s="59" t="s">
        <v>121</v>
      </c>
      <c r="D4" s="96">
        <f>8.64*5</f>
        <v>43.2</v>
      </c>
    </row>
    <row r="5" spans="3:4" x14ac:dyDescent="0.25">
      <c r="C5" s="59" t="s">
        <v>122</v>
      </c>
      <c r="D5" s="96">
        <v>7.2</v>
      </c>
    </row>
    <row r="6" spans="3:4" x14ac:dyDescent="0.25">
      <c r="C6" s="59" t="s">
        <v>123</v>
      </c>
      <c r="D6" s="97">
        <f>D4/D5</f>
        <v>6</v>
      </c>
    </row>
    <row r="8" spans="3:4" x14ac:dyDescent="0.25">
      <c r="C8" s="98" t="s">
        <v>124</v>
      </c>
      <c r="D8" s="59"/>
    </row>
    <row r="9" spans="3:4" x14ac:dyDescent="0.25">
      <c r="C9" s="59" t="s">
        <v>125</v>
      </c>
      <c r="D9" s="96">
        <v>2.5</v>
      </c>
    </row>
    <row r="10" spans="3:4" x14ac:dyDescent="0.25">
      <c r="C10" s="59" t="s">
        <v>126</v>
      </c>
      <c r="D10" s="97">
        <f>D6/D9</f>
        <v>2.4</v>
      </c>
    </row>
    <row r="12" spans="3:4" x14ac:dyDescent="0.25">
      <c r="C12" s="98" t="s">
        <v>127</v>
      </c>
      <c r="D12" s="59"/>
    </row>
    <row r="13" spans="3:4" x14ac:dyDescent="0.25">
      <c r="C13" s="59" t="s">
        <v>128</v>
      </c>
      <c r="D13" s="96">
        <v>9</v>
      </c>
    </row>
    <row r="14" spans="3:4" x14ac:dyDescent="0.25">
      <c r="C14" s="59" t="s">
        <v>129</v>
      </c>
      <c r="D14" s="96">
        <v>0.1</v>
      </c>
    </row>
    <row r="15" spans="3:4" x14ac:dyDescent="0.25">
      <c r="C15" s="59" t="s">
        <v>130</v>
      </c>
      <c r="D15" s="97">
        <f>(D13/1000)/D14</f>
        <v>8.9999999999999983E-2</v>
      </c>
    </row>
    <row r="16" spans="3:4" x14ac:dyDescent="0.25">
      <c r="C16" s="59" t="s">
        <v>131</v>
      </c>
      <c r="D16" s="96">
        <v>3.8100000000000002E-2</v>
      </c>
    </row>
    <row r="17" spans="3:6" x14ac:dyDescent="0.25">
      <c r="C17" s="59" t="s">
        <v>132</v>
      </c>
      <c r="D17" s="99">
        <f>PI()*((D16/2)^2)</f>
        <v>1.1400918279693699E-3</v>
      </c>
    </row>
    <row r="18" spans="3:6" x14ac:dyDescent="0.25">
      <c r="C18" s="59" t="s">
        <v>133</v>
      </c>
      <c r="D18" s="100">
        <f>D15/D17</f>
        <v>78.941009655599387</v>
      </c>
    </row>
    <row r="19" spans="3:6" x14ac:dyDescent="0.25">
      <c r="C19" s="59" t="s">
        <v>134</v>
      </c>
      <c r="D19" s="96">
        <v>10</v>
      </c>
    </row>
    <row r="20" spans="3:6" x14ac:dyDescent="0.25">
      <c r="C20" s="59" t="s">
        <v>135</v>
      </c>
      <c r="D20" s="100">
        <f>D18/D19</f>
        <v>7.8941009655599386</v>
      </c>
    </row>
    <row r="21" spans="3:6" x14ac:dyDescent="0.25">
      <c r="D21" s="49"/>
    </row>
    <row r="23" spans="3:6" x14ac:dyDescent="0.25">
      <c r="C23" s="98" t="s">
        <v>136</v>
      </c>
      <c r="D23" s="101" t="s">
        <v>137</v>
      </c>
      <c r="E23" s="101" t="s">
        <v>138</v>
      </c>
      <c r="F23" s="101" t="s">
        <v>139</v>
      </c>
    </row>
    <row r="24" spans="3:6" x14ac:dyDescent="0.25">
      <c r="C24" s="59" t="s">
        <v>140</v>
      </c>
      <c r="D24" s="96">
        <v>5</v>
      </c>
      <c r="E24" s="96">
        <v>5</v>
      </c>
      <c r="F24" s="96">
        <v>5</v>
      </c>
    </row>
    <row r="25" spans="3:6" x14ac:dyDescent="0.25">
      <c r="C25" s="59" t="s">
        <v>141</v>
      </c>
      <c r="D25" s="96">
        <v>50</v>
      </c>
      <c r="E25" s="96">
        <v>30</v>
      </c>
      <c r="F25" s="96">
        <v>15</v>
      </c>
    </row>
    <row r="26" spans="3:6" x14ac:dyDescent="0.25">
      <c r="C26" s="59" t="s">
        <v>142</v>
      </c>
      <c r="D26" s="96">
        <v>981</v>
      </c>
      <c r="E26" s="96">
        <v>981</v>
      </c>
      <c r="F26" s="96">
        <v>981</v>
      </c>
    </row>
    <row r="27" spans="3:6" x14ac:dyDescent="0.25">
      <c r="C27" s="59" t="s">
        <v>143</v>
      </c>
      <c r="D27" s="96">
        <v>0.01</v>
      </c>
      <c r="E27" s="96">
        <v>0.01</v>
      </c>
      <c r="F27" s="96">
        <v>0.01</v>
      </c>
    </row>
    <row r="28" spans="3:6" x14ac:dyDescent="0.25">
      <c r="C28" s="59" t="s">
        <v>144</v>
      </c>
      <c r="D28" s="96">
        <v>0.34</v>
      </c>
      <c r="E28" s="96">
        <v>0.4</v>
      </c>
      <c r="F28" s="96">
        <v>0.4</v>
      </c>
    </row>
    <row r="29" spans="3:6" x14ac:dyDescent="0.25">
      <c r="C29" s="59" t="s">
        <v>145</v>
      </c>
      <c r="D29" s="96">
        <v>0.95</v>
      </c>
      <c r="E29" s="96">
        <v>0.7</v>
      </c>
      <c r="F29" s="96">
        <v>0.82</v>
      </c>
    </row>
    <row r="30" spans="3:6" x14ac:dyDescent="0.25">
      <c r="C30" s="59" t="s">
        <v>146</v>
      </c>
      <c r="D30" s="96">
        <v>5.1999999999999998E-2</v>
      </c>
      <c r="E30" s="96">
        <v>0.06</v>
      </c>
      <c r="F30" s="96">
        <v>0.5</v>
      </c>
    </row>
    <row r="31" spans="3:6" x14ac:dyDescent="0.25">
      <c r="C31" s="59" t="s">
        <v>147</v>
      </c>
      <c r="D31" s="99">
        <f>((D4/86400)/D6)*100</f>
        <v>8.3333333333333332E-3</v>
      </c>
      <c r="E31" s="99">
        <f>((D4/86400)/D6)*100</f>
        <v>8.3333333333333332E-3</v>
      </c>
      <c r="F31" s="99">
        <f>((D4/86400)/D6)*100</f>
        <v>8.3333333333333332E-3</v>
      </c>
    </row>
    <row r="32" spans="3:6" x14ac:dyDescent="0.25">
      <c r="C32" s="59" t="s">
        <v>148</v>
      </c>
      <c r="D32" s="102">
        <f>((D24*D25*D27*D31*((1-D28)^2))/(D26*(D28^3)))*((6/(D29*D30))^2)</f>
        <v>3.4720780408604095</v>
      </c>
      <c r="E32" s="102">
        <f>((E24*E25*E27*E31*((1-E28)^2))/(E26*(E28^3)))*((6/(E29*E30))^2)</f>
        <v>1.4627410597266426</v>
      </c>
      <c r="F32" s="102">
        <f>((F24*F25*F27*F31*((1-F28)^2))/(F26*(F28^3)))*((6/(F29*F30))^2)</f>
        <v>7.6748222170071314E-3</v>
      </c>
    </row>
    <row r="33" spans="3:6" x14ac:dyDescent="0.25">
      <c r="C33" s="84" t="s">
        <v>149</v>
      </c>
      <c r="D33" s="103">
        <f>D32+E32+F32</f>
        <v>4.9424939228040596</v>
      </c>
      <c r="E33" s="104"/>
      <c r="F33" s="104"/>
    </row>
    <row r="39" spans="3:6" x14ac:dyDescent="0.25">
      <c r="C39" s="36" t="s">
        <v>150</v>
      </c>
    </row>
    <row r="40" spans="3:6" x14ac:dyDescent="0.25">
      <c r="C40" s="98" t="s">
        <v>151</v>
      </c>
      <c r="D40" s="101" t="s">
        <v>137</v>
      </c>
      <c r="E40" s="101" t="s">
        <v>138</v>
      </c>
      <c r="F40" s="101" t="s">
        <v>139</v>
      </c>
    </row>
    <row r="41" spans="3:6" x14ac:dyDescent="0.25">
      <c r="C41" s="59" t="s">
        <v>140</v>
      </c>
      <c r="D41" s="96">
        <v>5</v>
      </c>
      <c r="E41" s="96">
        <v>5</v>
      </c>
      <c r="F41" s="96">
        <v>5</v>
      </c>
    </row>
    <row r="42" spans="3:6" x14ac:dyDescent="0.25">
      <c r="C42" s="59" t="s">
        <v>141</v>
      </c>
      <c r="D42" s="96">
        <v>50</v>
      </c>
      <c r="E42" s="96">
        <v>30</v>
      </c>
      <c r="F42" s="96">
        <v>15</v>
      </c>
    </row>
    <row r="43" spans="3:6" x14ac:dyDescent="0.25">
      <c r="C43" s="59" t="s">
        <v>142</v>
      </c>
      <c r="D43" s="96">
        <v>981</v>
      </c>
      <c r="E43" s="96">
        <v>981</v>
      </c>
      <c r="F43" s="96">
        <v>981</v>
      </c>
    </row>
    <row r="44" spans="3:6" x14ac:dyDescent="0.25">
      <c r="C44" s="59" t="s">
        <v>143</v>
      </c>
      <c r="D44" s="96">
        <v>0.01</v>
      </c>
      <c r="E44" s="96">
        <v>0.01</v>
      </c>
      <c r="F44" s="96">
        <v>0.01</v>
      </c>
    </row>
    <row r="45" spans="3:6" x14ac:dyDescent="0.25">
      <c r="C45" s="59" t="s">
        <v>144</v>
      </c>
      <c r="D45" s="96">
        <v>0.34</v>
      </c>
      <c r="E45" s="96">
        <v>0.4</v>
      </c>
      <c r="F45" s="96">
        <v>0.4</v>
      </c>
    </row>
    <row r="46" spans="3:6" x14ac:dyDescent="0.25">
      <c r="C46" s="59" t="s">
        <v>145</v>
      </c>
      <c r="D46" s="96">
        <v>0.95</v>
      </c>
      <c r="E46" s="96">
        <v>0.7</v>
      </c>
      <c r="F46" s="96">
        <v>0.82</v>
      </c>
    </row>
    <row r="47" spans="3:6" x14ac:dyDescent="0.25">
      <c r="C47" s="59" t="s">
        <v>152</v>
      </c>
      <c r="D47" s="96">
        <v>5.1999999999999998E-2</v>
      </c>
      <c r="E47" s="96">
        <v>0.06</v>
      </c>
      <c r="F47" s="96">
        <v>0.5</v>
      </c>
    </row>
    <row r="48" spans="3:6" x14ac:dyDescent="0.25">
      <c r="C48" s="59" t="s">
        <v>153</v>
      </c>
      <c r="D48" s="105">
        <v>0.5</v>
      </c>
      <c r="E48" s="105">
        <v>0.5</v>
      </c>
      <c r="F48" s="105">
        <v>0.5</v>
      </c>
    </row>
    <row r="49" spans="3:6" x14ac:dyDescent="0.25">
      <c r="C49" s="59" t="s">
        <v>148</v>
      </c>
      <c r="D49" s="102">
        <f>((D41*D42*D44*D48*((1-D45)^2))/(D43*(D45^3)))*((6/(D46*D47))^2)</f>
        <v>208.32468245162462</v>
      </c>
      <c r="E49" s="102">
        <f>((E41*E42*E44*E48*((1-E45)^2))/(E43*(E45^3)))*((6/(E46*E47))^2)</f>
        <v>87.76446358359857</v>
      </c>
      <c r="F49" s="102">
        <f>((F41*F42*F44*F48*((1-F45)^2))/(F43*(F45^3)))*((6/(F46*F47))^2)</f>
        <v>0.46048933302042799</v>
      </c>
    </row>
    <row r="50" spans="3:6" x14ac:dyDescent="0.25">
      <c r="C50" s="84" t="s">
        <v>149</v>
      </c>
      <c r="D50" s="103">
        <f>D49+E49+F49</f>
        <v>296.54963536824357</v>
      </c>
      <c r="E50" s="104"/>
      <c r="F50" s="104"/>
    </row>
  </sheetData>
  <mergeCells count="2">
    <mergeCell ref="D33:F33"/>
    <mergeCell ref="D50:F50"/>
  </mergeCells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3:D17"/>
  <sheetViews>
    <sheetView zoomScale="170" zoomScaleNormal="170" workbookViewId="0">
      <selection activeCell="E15" sqref="E15"/>
    </sheetView>
  </sheetViews>
  <sheetFormatPr baseColWidth="10" defaultRowHeight="13.8" x14ac:dyDescent="0.25"/>
  <cols>
    <col min="1" max="2" width="11.5546875" style="35"/>
    <col min="3" max="3" width="47.77734375" style="35" customWidth="1"/>
    <col min="4" max="4" width="12.88671875" style="35" bestFit="1" customWidth="1"/>
    <col min="5" max="16384" width="11.5546875" style="35"/>
  </cols>
  <sheetData>
    <row r="3" spans="3:4" ht="14.4" x14ac:dyDescent="0.3">
      <c r="C3" s="59" t="s">
        <v>154</v>
      </c>
      <c r="D3" s="59">
        <v>5.0000000000000001E-4</v>
      </c>
    </row>
    <row r="4" spans="3:4" x14ac:dyDescent="0.25">
      <c r="C4" s="59" t="s">
        <v>155</v>
      </c>
      <c r="D4" s="106">
        <v>1</v>
      </c>
    </row>
    <row r="5" spans="3:4" x14ac:dyDescent="0.25">
      <c r="C5" s="59" t="s">
        <v>156</v>
      </c>
      <c r="D5" s="59">
        <f>PI()*(((D4*0.0254)/2)^2)</f>
        <v>5.0670747909749769E-4</v>
      </c>
    </row>
    <row r="6" spans="3:4" ht="27.6" x14ac:dyDescent="0.25">
      <c r="C6" s="107" t="s">
        <v>157</v>
      </c>
      <c r="D6" s="59">
        <f>D3/D5</f>
        <v>0.98676262069499265</v>
      </c>
    </row>
    <row r="9" spans="3:4" x14ac:dyDescent="0.25">
      <c r="C9" s="98" t="s">
        <v>158</v>
      </c>
      <c r="D9" s="59"/>
    </row>
    <row r="10" spans="3:4" x14ac:dyDescent="0.25">
      <c r="C10" s="59" t="s">
        <v>159</v>
      </c>
      <c r="D10" s="59">
        <v>4</v>
      </c>
    </row>
    <row r="11" spans="3:4" x14ac:dyDescent="0.25">
      <c r="C11" s="59" t="s">
        <v>160</v>
      </c>
      <c r="D11" s="59">
        <v>65</v>
      </c>
    </row>
    <row r="12" spans="3:4" x14ac:dyDescent="0.25">
      <c r="C12" s="59" t="s">
        <v>161</v>
      </c>
      <c r="D12" s="106">
        <f>(4*(D3*1000)*(100/D11))/(D3*1000)</f>
        <v>6.1538461538461542</v>
      </c>
    </row>
    <row r="13" spans="3:4" x14ac:dyDescent="0.25">
      <c r="C13" s="59"/>
      <c r="D13" s="59"/>
    </row>
    <row r="14" spans="3:4" ht="14.4" x14ac:dyDescent="0.3">
      <c r="C14" s="59" t="s">
        <v>162</v>
      </c>
      <c r="D14" s="59">
        <v>100</v>
      </c>
    </row>
    <row r="15" spans="3:4" ht="14.4" x14ac:dyDescent="0.3">
      <c r="C15" s="59" t="s">
        <v>163</v>
      </c>
      <c r="D15" s="59">
        <v>20</v>
      </c>
    </row>
    <row r="16" spans="3:4" ht="28.2" x14ac:dyDescent="0.3">
      <c r="C16" s="54" t="s">
        <v>164</v>
      </c>
      <c r="D16" s="106">
        <f>D14*(100/D11)*20*(1/1000)</f>
        <v>3.0769230769230771</v>
      </c>
    </row>
    <row r="17" spans="3:4" ht="28.2" x14ac:dyDescent="0.3">
      <c r="C17" s="88" t="s">
        <v>165</v>
      </c>
      <c r="D17" s="108">
        <f>(D10*(D3*1000))/D14</f>
        <v>0.02</v>
      </c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6"/>
  <sheetViews>
    <sheetView workbookViewId="0">
      <selection activeCell="B2" sqref="B2"/>
    </sheetView>
  </sheetViews>
  <sheetFormatPr baseColWidth="10" defaultRowHeight="14.4" x14ac:dyDescent="0.3"/>
  <cols>
    <col min="1" max="1" width="42.77734375" customWidth="1"/>
    <col min="2" max="2" width="18.5546875" customWidth="1"/>
  </cols>
  <sheetData>
    <row r="2" spans="1:2" x14ac:dyDescent="0.3">
      <c r="A2" s="19"/>
      <c r="B2" s="19" t="s">
        <v>20</v>
      </c>
    </row>
    <row r="3" spans="1:2" x14ac:dyDescent="0.3">
      <c r="A3" s="19"/>
      <c r="B3" s="19"/>
    </row>
    <row r="4" spans="1:2" x14ac:dyDescent="0.3">
      <c r="A4" s="19" t="s">
        <v>21</v>
      </c>
      <c r="B4" s="20">
        <v>0.5</v>
      </c>
    </row>
    <row r="5" spans="1:2" x14ac:dyDescent="0.3">
      <c r="A5" s="19" t="s">
        <v>22</v>
      </c>
      <c r="B5" s="20">
        <f>+(B4/1000)*60</f>
        <v>0.03</v>
      </c>
    </row>
    <row r="6" spans="1:2" x14ac:dyDescent="0.3">
      <c r="A6" s="19" t="s">
        <v>23</v>
      </c>
      <c r="B6" s="21">
        <v>30</v>
      </c>
    </row>
    <row r="7" spans="1:2" x14ac:dyDescent="0.3">
      <c r="A7" s="19" t="s">
        <v>24</v>
      </c>
      <c r="B7" s="22">
        <f>+B5*B6</f>
        <v>0.89999999999999991</v>
      </c>
    </row>
    <row r="9" spans="1:2" x14ac:dyDescent="0.3">
      <c r="A9" s="23" t="s">
        <v>25</v>
      </c>
      <c r="B9" s="23"/>
    </row>
    <row r="10" spans="1:2" x14ac:dyDescent="0.3">
      <c r="A10" s="24" t="s">
        <v>26</v>
      </c>
      <c r="B10" s="25">
        <v>1</v>
      </c>
    </row>
    <row r="11" spans="1:2" x14ac:dyDescent="0.3">
      <c r="A11" s="19" t="s">
        <v>27</v>
      </c>
      <c r="B11" s="26">
        <v>1</v>
      </c>
    </row>
    <row r="12" spans="1:2" x14ac:dyDescent="0.3">
      <c r="A12" s="19" t="s">
        <v>28</v>
      </c>
      <c r="B12" s="26">
        <v>0.9</v>
      </c>
    </row>
    <row r="13" spans="1:2" x14ac:dyDescent="0.3">
      <c r="A13" s="19" t="s">
        <v>29</v>
      </c>
      <c r="B13" s="27">
        <f>+B10*B11*B12</f>
        <v>0.9</v>
      </c>
    </row>
    <row r="14" spans="1:2" x14ac:dyDescent="0.3">
      <c r="A14" s="17"/>
      <c r="B14" s="28"/>
    </row>
    <row r="15" spans="1:2" x14ac:dyDescent="0.3">
      <c r="A15" s="17"/>
      <c r="B15" s="28"/>
    </row>
    <row r="16" spans="1:2" x14ac:dyDescent="0.3">
      <c r="A16" s="19" t="s">
        <v>30</v>
      </c>
      <c r="B16" s="20">
        <v>0.3</v>
      </c>
    </row>
    <row r="17" spans="1:2" x14ac:dyDescent="0.3">
      <c r="A17" s="19" t="s">
        <v>31</v>
      </c>
      <c r="B17" s="29">
        <f>+B10*B11*(B12+B16)</f>
        <v>1.2</v>
      </c>
    </row>
    <row r="18" spans="1:2" x14ac:dyDescent="0.3">
      <c r="A18" s="30" t="s">
        <v>32</v>
      </c>
      <c r="B18" s="30"/>
    </row>
    <row r="19" spans="1:2" x14ac:dyDescent="0.3">
      <c r="A19" t="s">
        <v>33</v>
      </c>
      <c r="B19" s="16">
        <v>0.03</v>
      </c>
    </row>
    <row r="20" spans="1:2" x14ac:dyDescent="0.3">
      <c r="A20" t="s">
        <v>34</v>
      </c>
      <c r="B20" s="31">
        <f>+B4/1000</f>
        <v>5.0000000000000001E-4</v>
      </c>
    </row>
    <row r="21" spans="1:2" x14ac:dyDescent="0.3">
      <c r="A21" t="s">
        <v>35</v>
      </c>
      <c r="B21">
        <v>150</v>
      </c>
    </row>
    <row r="22" spans="1:2" x14ac:dyDescent="0.3">
      <c r="A22" t="s">
        <v>36</v>
      </c>
      <c r="B22" s="32">
        <f>(B20/(0.2785*B21*(B19^0.54)))^(1/2.63)</f>
        <v>2.7619753469620565E-2</v>
      </c>
    </row>
    <row r="23" spans="1:2" x14ac:dyDescent="0.3">
      <c r="A23" t="s">
        <v>37</v>
      </c>
      <c r="B23" s="33">
        <f>+B22/0.0254</f>
        <v>1.0873918688826996</v>
      </c>
    </row>
    <row r="24" spans="1:2" x14ac:dyDescent="0.3">
      <c r="A24" t="s">
        <v>38</v>
      </c>
      <c r="B24" s="34">
        <f>1*0.0254</f>
        <v>2.5399999999999999E-2</v>
      </c>
    </row>
    <row r="25" spans="1:2" x14ac:dyDescent="0.3">
      <c r="A25" t="s">
        <v>39</v>
      </c>
      <c r="B25" s="32">
        <f>(PI()*B24^2)/4</f>
        <v>5.0670747909749769E-4</v>
      </c>
    </row>
    <row r="26" spans="1:2" x14ac:dyDescent="0.3">
      <c r="A26" t="s">
        <v>40</v>
      </c>
      <c r="B26" s="16">
        <f>B20/B25</f>
        <v>0.98676262069499265</v>
      </c>
    </row>
  </sheetData>
  <mergeCells count="1">
    <mergeCell ref="A18:B18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7"/>
  <sheetViews>
    <sheetView zoomScaleNormal="100" workbookViewId="0">
      <selection activeCell="A29" sqref="A29"/>
    </sheetView>
  </sheetViews>
  <sheetFormatPr baseColWidth="10" defaultRowHeight="14.4" x14ac:dyDescent="0.3"/>
  <cols>
    <col min="1" max="1" width="37" bestFit="1" customWidth="1"/>
    <col min="2" max="2" width="25.44140625" customWidth="1"/>
    <col min="3" max="3" width="29.109375" customWidth="1"/>
    <col min="4" max="4" width="14.88671875" customWidth="1"/>
  </cols>
  <sheetData>
    <row r="1" spans="1:7" x14ac:dyDescent="0.3">
      <c r="A1" t="s">
        <v>13</v>
      </c>
      <c r="B1" s="10">
        <v>50</v>
      </c>
    </row>
    <row r="2" spans="1:7" x14ac:dyDescent="0.3">
      <c r="A2" t="s">
        <v>0</v>
      </c>
      <c r="B2" s="11">
        <f>+C19</f>
        <v>2.0333333333333332E-3</v>
      </c>
    </row>
    <row r="3" spans="1:7" x14ac:dyDescent="0.3">
      <c r="A3" t="s">
        <v>1</v>
      </c>
      <c r="B3" s="1">
        <f>B2*1000</f>
        <v>2.0333333333333332</v>
      </c>
    </row>
    <row r="4" spans="1:7" x14ac:dyDescent="0.3">
      <c r="A4" t="s">
        <v>2</v>
      </c>
      <c r="B4" s="12">
        <f>(B3*B1*86400)/(1000*1000)</f>
        <v>8.7840000000000007</v>
      </c>
      <c r="C4" t="s">
        <v>4</v>
      </c>
      <c r="D4" s="3">
        <v>8</v>
      </c>
      <c r="G4" s="8">
        <v>1</v>
      </c>
    </row>
    <row r="5" spans="1:7" x14ac:dyDescent="0.3">
      <c r="A5" t="s">
        <v>3</v>
      </c>
      <c r="B5" s="2">
        <f>+B4*D4</f>
        <v>70.272000000000006</v>
      </c>
      <c r="C5" t="s">
        <v>5</v>
      </c>
      <c r="D5" s="4">
        <v>1600</v>
      </c>
      <c r="G5" s="8">
        <v>2</v>
      </c>
    </row>
    <row r="6" spans="1:7" x14ac:dyDescent="0.3">
      <c r="A6" t="s">
        <v>19</v>
      </c>
      <c r="B6" s="15">
        <f>+B5/D5</f>
        <v>4.3920000000000001E-2</v>
      </c>
      <c r="C6" t="s">
        <v>7</v>
      </c>
      <c r="D6" s="5">
        <v>0.3</v>
      </c>
      <c r="G6" s="8">
        <v>3</v>
      </c>
    </row>
    <row r="7" spans="1:7" x14ac:dyDescent="0.3">
      <c r="A7" t="s">
        <v>6</v>
      </c>
      <c r="B7" s="14">
        <f>B6/D6</f>
        <v>0.1464</v>
      </c>
    </row>
    <row r="8" spans="1:7" x14ac:dyDescent="0.3">
      <c r="A8" t="s">
        <v>8</v>
      </c>
      <c r="B8" s="7">
        <v>0.6</v>
      </c>
      <c r="D8" s="13"/>
    </row>
    <row r="9" spans="1:7" x14ac:dyDescent="0.3">
      <c r="A9" t="s">
        <v>9</v>
      </c>
      <c r="B9" s="7">
        <v>0.6</v>
      </c>
    </row>
    <row r="10" spans="1:7" x14ac:dyDescent="0.3">
      <c r="A10" t="s">
        <v>10</v>
      </c>
      <c r="B10">
        <v>2</v>
      </c>
    </row>
    <row r="11" spans="1:7" x14ac:dyDescent="0.3">
      <c r="A11" t="s">
        <v>11</v>
      </c>
      <c r="B11" s="6">
        <f>B8*B9</f>
        <v>0.36</v>
      </c>
    </row>
    <row r="12" spans="1:7" x14ac:dyDescent="0.3">
      <c r="A12" t="s">
        <v>12</v>
      </c>
      <c r="B12" s="6">
        <f>B11*B10</f>
        <v>0.72</v>
      </c>
      <c r="C12" s="9" t="str">
        <f>IF(B12&gt;B7,"Cumple","Cambiar dimensiones del lecho")</f>
        <v>Cumple</v>
      </c>
    </row>
    <row r="16" spans="1:7" x14ac:dyDescent="0.3">
      <c r="B16" s="17" t="s">
        <v>16</v>
      </c>
      <c r="C16" s="17">
        <v>0.61</v>
      </c>
    </row>
    <row r="17" spans="1:3" x14ac:dyDescent="0.3">
      <c r="B17" s="17" t="s">
        <v>17</v>
      </c>
      <c r="C17" s="17">
        <v>5</v>
      </c>
    </row>
    <row r="18" spans="1:3" x14ac:dyDescent="0.3">
      <c r="B18" s="17" t="s">
        <v>14</v>
      </c>
      <c r="C18" s="17">
        <f>60*C17</f>
        <v>300</v>
      </c>
    </row>
    <row r="19" spans="1:3" x14ac:dyDescent="0.3">
      <c r="B19" s="17" t="s">
        <v>18</v>
      </c>
      <c r="C19" s="17">
        <f>+C16/C18</f>
        <v>2.0333333333333332E-3</v>
      </c>
    </row>
    <row r="20" spans="1:3" x14ac:dyDescent="0.3">
      <c r="B20" s="17" t="s">
        <v>15</v>
      </c>
      <c r="C20" s="18">
        <f>+C19*1000</f>
        <v>2.0333333333333332</v>
      </c>
    </row>
    <row r="26" spans="1:3" x14ac:dyDescent="0.3">
      <c r="A26" s="16"/>
    </row>
    <row r="27" spans="1:3" x14ac:dyDescent="0.3">
      <c r="A27" s="16"/>
    </row>
  </sheetData>
  <conditionalFormatting sqref="C12">
    <cfRule type="containsText" dxfId="1" priority="1" operator="containsText" text="Cambiar dimensiones del lecho">
      <formula>NOT(ISERROR(SEARCH("Cambiar dimensiones del lecho",C12)))</formula>
    </cfRule>
    <cfRule type="containsText" dxfId="0" priority="2" operator="containsText" text="Cumple">
      <formula>NOT(ISERROR(SEARCH("Cumple",C12)))</formula>
    </cfRule>
  </conditionalFormatting>
  <dataValidations count="1">
    <dataValidation type="list" allowBlank="1" showInputMessage="1" showErrorMessage="1" sqref="B10">
      <formula1>$G$4:$G$6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Desareandor</vt:lpstr>
      <vt:lpstr>Trampa de grasas</vt:lpstr>
      <vt:lpstr>Filtro arena_carbon</vt:lpstr>
      <vt:lpstr>desinfección</vt:lpstr>
      <vt:lpstr>tanque de desinfección</vt:lpstr>
      <vt:lpstr>lecho de secado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</dc:creator>
  <cp:lastModifiedBy>Usuario</cp:lastModifiedBy>
  <dcterms:created xsi:type="dcterms:W3CDTF">2018-09-11T13:49:19Z</dcterms:created>
  <dcterms:modified xsi:type="dcterms:W3CDTF">2021-05-12T04:24:59Z</dcterms:modified>
</cp:coreProperties>
</file>